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bonisom\Documents\C schedule S71\2020-2021\May2021\"/>
    </mc:Choice>
  </mc:AlternateContent>
  <workbookProtection workbookPassword="FB84" lockStructure="1"/>
  <bookViews>
    <workbookView xWindow="0" yWindow="0" windowWidth="28800" windowHeight="12300" tabRatio="792" firstSheet="26" activeTab="33"/>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C23" i="324" l="1"/>
  <c r="F15" i="177" l="1"/>
  <c r="H158" i="335" l="1"/>
  <c r="H152" i="335"/>
  <c r="H149" i="335"/>
  <c r="H144" i="335"/>
  <c r="H132" i="335"/>
  <c r="H108" i="335"/>
  <c r="H101" i="335"/>
  <c r="H77" i="335"/>
  <c r="H46" i="335"/>
  <c r="H30" i="335"/>
  <c r="H18" i="335"/>
  <c r="H9" i="335"/>
  <c r="H9" i="333"/>
  <c r="H12" i="333"/>
  <c r="H22" i="333"/>
  <c r="H21" i="333"/>
  <c r="H20" i="333"/>
  <c r="H19" i="333"/>
  <c r="H30" i="333"/>
  <c r="H77" i="333"/>
  <c r="H81" i="333"/>
  <c r="H80" i="333"/>
  <c r="H86" i="333"/>
  <c r="H89" i="333"/>
  <c r="H92" i="333"/>
  <c r="H102" i="333"/>
  <c r="H101" i="333"/>
  <c r="H100" i="333"/>
  <c r="H119" i="333"/>
  <c r="H122" i="333"/>
  <c r="H129" i="333"/>
  <c r="H145" i="333"/>
  <c r="H144" i="333"/>
  <c r="H149" i="333"/>
  <c r="H152" i="333"/>
  <c r="H155" i="333"/>
  <c r="H158" i="333"/>
  <c r="H9" i="325"/>
  <c r="H18" i="325"/>
  <c r="H34" i="325"/>
  <c r="H41" i="325"/>
  <c r="H46" i="325"/>
  <c r="H77" i="325"/>
  <c r="H80" i="325"/>
  <c r="H86" i="325"/>
  <c r="H88" i="325"/>
  <c r="H90" i="325"/>
  <c r="H93" i="325"/>
  <c r="H105" i="325"/>
  <c r="H158" i="326"/>
  <c r="H155" i="326"/>
  <c r="H152" i="326"/>
  <c r="H144" i="326"/>
  <c r="H132" i="326"/>
  <c r="H108" i="326"/>
  <c r="H77" i="326"/>
  <c r="H46" i="326"/>
  <c r="H41" i="326"/>
  <c r="H40" i="326"/>
  <c r="H30" i="326"/>
  <c r="H18" i="326"/>
  <c r="H9" i="326"/>
  <c r="H158" i="242"/>
  <c r="H155" i="242"/>
  <c r="H152" i="242"/>
  <c r="H149" i="242"/>
  <c r="H144" i="242"/>
  <c r="H96" i="242"/>
  <c r="H39"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H95" i="318"/>
  <c r="H93" i="318"/>
  <c r="H92" i="318"/>
  <c r="H91" i="318"/>
  <c r="H90" i="318"/>
  <c r="H89" i="318"/>
  <c r="H88" i="318"/>
  <c r="H87" i="318"/>
  <c r="H77" i="318"/>
  <c r="H76" i="318"/>
  <c r="H75" i="318"/>
  <c r="H73" i="318"/>
  <c r="H71" i="318"/>
  <c r="H44" i="318"/>
  <c r="H42" i="318"/>
  <c r="H41" i="318"/>
  <c r="H40" i="318"/>
  <c r="H39" i="318"/>
  <c r="H38" i="318"/>
  <c r="H37" i="318"/>
  <c r="H36" i="318"/>
  <c r="H35" i="318"/>
  <c r="H34" i="318"/>
  <c r="H25" i="318"/>
  <c r="H24" i="318"/>
  <c r="H23" i="318"/>
  <c r="H22" i="318"/>
  <c r="H20" i="318"/>
  <c r="H19" i="318"/>
  <c r="H18" i="318"/>
  <c r="H12" i="318"/>
  <c r="H11" i="318"/>
  <c r="H10" i="318"/>
  <c r="H9" i="318"/>
  <c r="H8" i="318"/>
  <c r="H7" i="318"/>
  <c r="H57" i="269"/>
  <c r="H55" i="269"/>
  <c r="H54" i="269"/>
  <c r="H52" i="269"/>
  <c r="H51" i="269"/>
  <c r="H50" i="269"/>
  <c r="H43" i="269"/>
  <c r="H39" i="269"/>
  <c r="H37" i="269"/>
  <c r="H28" i="269"/>
  <c r="H27" i="269"/>
  <c r="H26" i="269"/>
  <c r="H24" i="269"/>
  <c r="H23" i="269"/>
  <c r="H22" i="269"/>
  <c r="H21" i="269"/>
  <c r="H16" i="269"/>
  <c r="H12" i="269"/>
  <c r="H10" i="269"/>
  <c r="H9" i="269"/>
  <c r="H56" i="270"/>
  <c r="H55" i="270"/>
  <c r="H54" i="270"/>
  <c r="H53" i="270"/>
  <c r="H52" i="270"/>
  <c r="H51" i="270"/>
  <c r="H50" i="270"/>
  <c r="H49" i="270"/>
  <c r="H48" i="270"/>
  <c r="H47" i="270"/>
  <c r="H43" i="270"/>
  <c r="H39" i="270"/>
  <c r="H37" i="270"/>
  <c r="H27" i="270"/>
  <c r="H26" i="270"/>
  <c r="H23" i="270"/>
  <c r="H22" i="270"/>
  <c r="H16" i="270"/>
  <c r="H12" i="270"/>
  <c r="H10" i="270"/>
  <c r="H9" i="270"/>
  <c r="H36" i="177"/>
  <c r="H27" i="177"/>
  <c r="H17" i="177"/>
  <c r="H16" i="177"/>
  <c r="H15" i="177"/>
  <c r="H12" i="177"/>
  <c r="H11" i="177"/>
  <c r="H10" i="177"/>
  <c r="H9" i="177"/>
  <c r="H8" i="177"/>
  <c r="H7" i="177"/>
  <c r="H208" i="324"/>
  <c r="H207" i="324"/>
  <c r="H205" i="324"/>
  <c r="H197" i="324"/>
  <c r="H196" i="324"/>
  <c r="H194" i="324"/>
  <c r="H184" i="324"/>
  <c r="H175" i="324"/>
  <c r="H174" i="324"/>
  <c r="H173" i="324"/>
  <c r="H165" i="324"/>
  <c r="H162" i="324"/>
  <c r="H161" i="324"/>
  <c r="H152" i="324"/>
  <c r="H151" i="324"/>
  <c r="H39" i="324"/>
  <c r="H38" i="324"/>
  <c r="H37" i="324"/>
  <c r="H36" i="324"/>
  <c r="H30" i="324"/>
  <c r="H25" i="324"/>
  <c r="H22" i="324"/>
  <c r="H21" i="324"/>
  <c r="H14" i="324"/>
  <c r="H9" i="324"/>
  <c r="H73" i="268"/>
  <c r="H67" i="268"/>
  <c r="H66" i="268"/>
  <c r="H62" i="268"/>
  <c r="H61" i="268"/>
  <c r="H60" i="268"/>
  <c r="H59" i="268"/>
  <c r="H58" i="268"/>
  <c r="H55" i="268"/>
  <c r="H54" i="268"/>
  <c r="H51" i="268"/>
  <c r="H48" i="268"/>
  <c r="H45" i="268"/>
  <c r="H44" i="268"/>
  <c r="H39" i="182"/>
  <c r="H35" i="182"/>
  <c r="H34" i="182"/>
  <c r="H33" i="182"/>
  <c r="H32" i="182"/>
  <c r="H31" i="182"/>
  <c r="H30" i="182"/>
  <c r="H29" i="182"/>
  <c r="H28" i="182"/>
  <c r="H27" i="182"/>
  <c r="H26" i="182"/>
  <c r="H25" i="182"/>
  <c r="H20" i="182"/>
  <c r="H19" i="182"/>
  <c r="H18" i="182"/>
  <c r="H17" i="182"/>
  <c r="H16" i="182"/>
  <c r="H14" i="182"/>
  <c r="H13" i="182"/>
  <c r="H12" i="182"/>
  <c r="H10" i="182"/>
  <c r="H9" i="182"/>
  <c r="H8" i="182"/>
  <c r="H7" i="182"/>
  <c r="H6" i="182"/>
  <c r="H8" i="323"/>
  <c r="H19" i="323"/>
  <c r="H21" i="323"/>
  <c r="H32" i="323"/>
  <c r="H31" i="323"/>
  <c r="H30" i="323"/>
  <c r="H29" i="323"/>
  <c r="H42" i="323"/>
  <c r="H41" i="323"/>
  <c r="H40" i="323"/>
  <c r="H54" i="323"/>
  <c r="H53" i="323"/>
  <c r="H52" i="323"/>
  <c r="H51" i="323"/>
  <c r="H65" i="323"/>
  <c r="H64" i="323"/>
  <c r="H63" i="323"/>
  <c r="H62" i="323"/>
  <c r="H178" i="323"/>
  <c r="H177" i="323"/>
  <c r="H176" i="323"/>
  <c r="H175" i="323"/>
  <c r="H190" i="323"/>
  <c r="H189" i="323"/>
  <c r="H188" i="323"/>
  <c r="H187" i="323"/>
  <c r="H186" i="323"/>
  <c r="H200" i="323"/>
  <c r="H199" i="323"/>
  <c r="H198" i="323"/>
  <c r="H212" i="323"/>
  <c r="H211" i="323"/>
  <c r="H210" i="323"/>
  <c r="H209" i="323"/>
  <c r="H208" i="323"/>
  <c r="H223" i="323"/>
  <c r="H222" i="323"/>
  <c r="H221" i="323"/>
  <c r="H220" i="323"/>
  <c r="H219" i="323"/>
  <c r="H230" i="323"/>
  <c r="H232" i="323"/>
  <c r="H233" i="323"/>
  <c r="H246" i="330"/>
  <c r="H245" i="330"/>
  <c r="H244" i="330"/>
  <c r="H243" i="330"/>
  <c r="H242" i="330"/>
  <c r="H238" i="330"/>
  <c r="H237" i="330"/>
  <c r="H234" i="330"/>
  <c r="H233" i="330"/>
  <c r="H232" i="330"/>
  <c r="H231" i="330"/>
  <c r="H228"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81" i="330"/>
  <c r="H65" i="330"/>
  <c r="H62" i="330"/>
  <c r="H60" i="330"/>
  <c r="H53" i="330"/>
  <c r="H44" i="330"/>
  <c r="H41" i="330"/>
  <c r="H33" i="330"/>
  <c r="H31" i="330"/>
  <c r="H17" i="330"/>
  <c r="H16" i="330"/>
  <c r="H15" i="330"/>
  <c r="H13" i="330"/>
  <c r="H9" i="330"/>
  <c r="H161" i="242" l="1"/>
  <c r="H119" i="242" l="1"/>
  <c r="K173" i="324" l="1"/>
  <c r="K96" i="242"/>
  <c r="K158" i="326"/>
  <c r="K144" i="326"/>
  <c r="K132" i="326"/>
  <c r="K108" i="326"/>
  <c r="K77" i="326"/>
  <c r="K41" i="326"/>
  <c r="K40" i="326"/>
  <c r="K30" i="326"/>
  <c r="K18" i="326"/>
  <c r="K144" i="335"/>
  <c r="K132" i="335"/>
  <c r="K101" i="335"/>
  <c r="K56" i="270" l="1"/>
  <c r="K55" i="270"/>
  <c r="K54" i="270"/>
  <c r="K53" i="270"/>
  <c r="K52" i="270"/>
  <c r="K51" i="270"/>
  <c r="K50" i="270"/>
  <c r="K48" i="270"/>
  <c r="K47" i="270"/>
  <c r="K38" i="270"/>
  <c r="K208" i="324" l="1"/>
  <c r="K184" i="324"/>
  <c r="K152" i="324"/>
  <c r="K151" i="324"/>
  <c r="K39" i="324"/>
  <c r="K30" i="324"/>
  <c r="K25" i="324"/>
  <c r="K35" i="182"/>
  <c r="K233" i="323"/>
  <c r="K232" i="323"/>
  <c r="K200" i="323"/>
  <c r="K199" i="323"/>
  <c r="K62" i="323"/>
  <c r="K228" i="330"/>
  <c r="K81" i="330"/>
  <c r="F177" i="330" l="1"/>
  <c r="G177" i="330"/>
  <c r="H108" i="242" l="1"/>
  <c r="H18" i="242"/>
  <c r="G28" i="323" l="1"/>
  <c r="F28" i="323"/>
  <c r="F10" i="330"/>
  <c r="G10" i="330"/>
  <c r="K95" i="318" l="1"/>
  <c r="K165" i="324"/>
  <c r="K162" i="324"/>
  <c r="K77" i="335"/>
  <c r="K158" i="242"/>
  <c r="K196" i="324"/>
  <c r="K158" i="335" l="1"/>
  <c r="K152" i="335"/>
  <c r="K149" i="335"/>
  <c r="K108" i="335"/>
  <c r="K46" i="335"/>
  <c r="K30" i="335"/>
  <c r="K18" i="335"/>
  <c r="K9" i="335"/>
  <c r="K158" i="333"/>
  <c r="K155" i="333"/>
  <c r="K152" i="333"/>
  <c r="K149" i="333"/>
  <c r="K145" i="333"/>
  <c r="K144" i="333"/>
  <c r="K129" i="333"/>
  <c r="K122" i="333"/>
  <c r="K119" i="333"/>
  <c r="K102" i="333"/>
  <c r="K101" i="333"/>
  <c r="K100" i="333"/>
  <c r="K92" i="333"/>
  <c r="K89" i="333"/>
  <c r="K86" i="333"/>
  <c r="K81" i="333"/>
  <c r="K80" i="333"/>
  <c r="K77" i="333"/>
  <c r="K30" i="333"/>
  <c r="K22" i="333"/>
  <c r="K21" i="333"/>
  <c r="K20" i="333"/>
  <c r="K19" i="333"/>
  <c r="K12" i="333"/>
  <c r="K9" i="333"/>
  <c r="K105" i="325"/>
  <c r="K93" i="325"/>
  <c r="K90" i="325"/>
  <c r="K88" i="325"/>
  <c r="K86" i="325"/>
  <c r="K80" i="325"/>
  <c r="K77" i="325"/>
  <c r="K46" i="325"/>
  <c r="K41" i="325"/>
  <c r="K34" i="325"/>
  <c r="K18" i="325"/>
  <c r="K9" i="325"/>
  <c r="K155" i="326"/>
  <c r="K152" i="326"/>
  <c r="K46" i="326"/>
  <c r="K9" i="326"/>
  <c r="K9" i="242"/>
  <c r="K18" i="242"/>
  <c r="K40" i="242"/>
  <c r="K77" i="242"/>
  <c r="K84" i="242"/>
  <c r="K88" i="242"/>
  <c r="K108" i="242"/>
  <c r="K119" i="242"/>
  <c r="K144" i="242"/>
  <c r="K149" i="242"/>
  <c r="K152" i="242"/>
  <c r="K155" i="242"/>
  <c r="K161" i="242"/>
  <c r="K39" i="181"/>
  <c r="K34" i="181"/>
  <c r="K33" i="181"/>
  <c r="K32" i="181"/>
  <c r="K31" i="181"/>
  <c r="K30" i="181"/>
  <c r="K29" i="181"/>
  <c r="K28" i="181"/>
  <c r="K27" i="181"/>
  <c r="K26" i="181"/>
  <c r="K25" i="181"/>
  <c r="K20" i="181"/>
  <c r="K19" i="181"/>
  <c r="K18" i="181"/>
  <c r="K17" i="181"/>
  <c r="K16" i="181"/>
  <c r="K14" i="181"/>
  <c r="K13" i="181"/>
  <c r="K12" i="181"/>
  <c r="K10" i="181"/>
  <c r="K9" i="181"/>
  <c r="K8" i="181"/>
  <c r="K7" i="181"/>
  <c r="K6" i="181"/>
  <c r="K93" i="318"/>
  <c r="K92" i="318"/>
  <c r="K91" i="318"/>
  <c r="K90" i="318"/>
  <c r="K89" i="318"/>
  <c r="K88" i="318"/>
  <c r="K87" i="318"/>
  <c r="K77" i="318"/>
  <c r="K76" i="318"/>
  <c r="K75" i="318"/>
  <c r="K73" i="318"/>
  <c r="K71" i="318"/>
  <c r="K44" i="318"/>
  <c r="K42" i="318"/>
  <c r="K41" i="318"/>
  <c r="K40" i="318"/>
  <c r="K39" i="318"/>
  <c r="K38" i="318"/>
  <c r="K37" i="318"/>
  <c r="K36" i="318"/>
  <c r="K35" i="318"/>
  <c r="K34" i="318"/>
  <c r="K25" i="318"/>
  <c r="K24" i="318"/>
  <c r="K23" i="318"/>
  <c r="K22" i="318"/>
  <c r="K21" i="318"/>
  <c r="K20" i="318"/>
  <c r="K19" i="318"/>
  <c r="K18" i="318"/>
  <c r="K12" i="318"/>
  <c r="K11" i="318"/>
  <c r="K10" i="318"/>
  <c r="K9" i="318"/>
  <c r="K8" i="318"/>
  <c r="K7" i="318"/>
  <c r="K57" i="269"/>
  <c r="K55" i="269"/>
  <c r="K54" i="269"/>
  <c r="K52" i="269"/>
  <c r="K51" i="269"/>
  <c r="K50" i="269"/>
  <c r="K43" i="269"/>
  <c r="K39" i="269"/>
  <c r="K37" i="269"/>
  <c r="K28" i="269"/>
  <c r="K27" i="269"/>
  <c r="K26" i="269"/>
  <c r="K24" i="269"/>
  <c r="K23" i="269"/>
  <c r="K22" i="269"/>
  <c r="K21" i="269"/>
  <c r="K16" i="269"/>
  <c r="K12" i="269"/>
  <c r="K10" i="269"/>
  <c r="K9" i="269"/>
  <c r="K49" i="270" l="1"/>
  <c r="K43" i="270"/>
  <c r="K39" i="270"/>
  <c r="K37" i="270"/>
  <c r="K27" i="270"/>
  <c r="K26" i="270"/>
  <c r="K23" i="270"/>
  <c r="K22" i="270"/>
  <c r="K16" i="270"/>
  <c r="K12" i="270"/>
  <c r="K10" i="270"/>
  <c r="K9" i="270"/>
  <c r="K36" i="177"/>
  <c r="K27" i="177"/>
  <c r="K17" i="177"/>
  <c r="K16" i="177"/>
  <c r="K15" i="177"/>
  <c r="K12" i="177"/>
  <c r="K11" i="177"/>
  <c r="K10" i="177"/>
  <c r="K9" i="177"/>
  <c r="K8" i="177"/>
  <c r="K7" i="177"/>
  <c r="G47" i="178"/>
  <c r="G46" i="178"/>
  <c r="G39" i="178"/>
  <c r="G38" i="178"/>
  <c r="G34" i="178"/>
  <c r="G33" i="178"/>
  <c r="G32" i="178"/>
  <c r="G31" i="178"/>
  <c r="G24" i="178"/>
  <c r="G23" i="178"/>
  <c r="G22" i="178"/>
  <c r="G20" i="178"/>
  <c r="G18" i="178"/>
  <c r="G12" i="178"/>
  <c r="G10" i="178"/>
  <c r="G9" i="178"/>
  <c r="G8" i="178"/>
  <c r="G7" i="178"/>
  <c r="K9" i="324"/>
  <c r="K14" i="324"/>
  <c r="K22" i="324"/>
  <c r="K21" i="324"/>
  <c r="K38" i="324"/>
  <c r="K37" i="324"/>
  <c r="K36" i="324"/>
  <c r="K161" i="324"/>
  <c r="K172" i="324"/>
  <c r="K175" i="324"/>
  <c r="K174" i="324"/>
  <c r="K194" i="324"/>
  <c r="K197" i="324"/>
  <c r="K206" i="324"/>
  <c r="K205" i="324"/>
  <c r="K207" i="324"/>
  <c r="K73" i="268"/>
  <c r="K67" i="268"/>
  <c r="K66" i="268"/>
  <c r="K62" i="268"/>
  <c r="K61" i="268"/>
  <c r="K60" i="268"/>
  <c r="K59" i="268"/>
  <c r="K58" i="268"/>
  <c r="K55" i="268"/>
  <c r="K54" i="268"/>
  <c r="K51" i="268"/>
  <c r="K48" i="268"/>
  <c r="K45" i="268"/>
  <c r="K44" i="268"/>
  <c r="K39" i="182" l="1"/>
  <c r="K34" i="182"/>
  <c r="K33" i="182"/>
  <c r="K32" i="182"/>
  <c r="K31" i="182"/>
  <c r="K30" i="182"/>
  <c r="K29" i="182"/>
  <c r="K28" i="182"/>
  <c r="K27" i="182"/>
  <c r="K26" i="182"/>
  <c r="K25" i="182"/>
  <c r="K20" i="182"/>
  <c r="K19" i="182"/>
  <c r="K18" i="182"/>
  <c r="K17" i="182"/>
  <c r="K16" i="182"/>
  <c r="K14" i="182"/>
  <c r="K13" i="182"/>
  <c r="K12" i="182"/>
  <c r="K10" i="182"/>
  <c r="K9" i="182"/>
  <c r="K8" i="182"/>
  <c r="K7" i="182"/>
  <c r="K6" i="182"/>
  <c r="K230" i="323"/>
  <c r="K223" i="323"/>
  <c r="K222" i="323"/>
  <c r="K221" i="323"/>
  <c r="K220" i="323"/>
  <c r="K219" i="323"/>
  <c r="K212" i="323"/>
  <c r="K211" i="323"/>
  <c r="K210" i="323"/>
  <c r="K209" i="323"/>
  <c r="K208" i="323"/>
  <c r="K198" i="323"/>
  <c r="K190" i="323"/>
  <c r="K189" i="323"/>
  <c r="K188" i="323"/>
  <c r="K187" i="323"/>
  <c r="K186" i="323"/>
  <c r="K178" i="323"/>
  <c r="K177" i="323"/>
  <c r="K176" i="323"/>
  <c r="K175" i="323"/>
  <c r="K65" i="323"/>
  <c r="K64" i="323"/>
  <c r="K63" i="323"/>
  <c r="K54" i="323"/>
  <c r="K53" i="323"/>
  <c r="K52" i="323"/>
  <c r="K51" i="323"/>
  <c r="K42" i="323"/>
  <c r="K41" i="323"/>
  <c r="K40" i="323"/>
  <c r="K32" i="323"/>
  <c r="K31" i="323"/>
  <c r="K30" i="323"/>
  <c r="K29" i="323"/>
  <c r="K21" i="323"/>
  <c r="K19" i="323"/>
  <c r="K8" i="323"/>
  <c r="K246" i="330"/>
  <c r="K245" i="330"/>
  <c r="K244" i="330"/>
  <c r="K243" i="330"/>
  <c r="K242" i="330"/>
  <c r="K238" i="330"/>
  <c r="K237" i="330"/>
  <c r="K234" i="330"/>
  <c r="K233" i="330"/>
  <c r="K232" i="330"/>
  <c r="K231" i="330"/>
  <c r="K224" i="330"/>
  <c r="K223" i="330"/>
  <c r="K219" i="330"/>
  <c r="K218" i="330"/>
  <c r="K213" i="330"/>
  <c r="K212" i="330"/>
  <c r="K211" i="330"/>
  <c r="K210" i="330"/>
  <c r="K205" i="330"/>
  <c r="K203" i="330"/>
  <c r="K200" i="330"/>
  <c r="K191" i="330"/>
  <c r="K187" i="330"/>
  <c r="K182" i="330"/>
  <c r="K178" i="330"/>
  <c r="K175" i="330"/>
  <c r="K174" i="330"/>
  <c r="K167" i="330"/>
  <c r="K166" i="330"/>
  <c r="K163" i="330"/>
  <c r="K153" i="330"/>
  <c r="K155" i="330"/>
  <c r="K152" i="330"/>
  <c r="K150" i="330"/>
  <c r="K147" i="330"/>
  <c r="K143" i="330"/>
  <c r="K144" i="330"/>
  <c r="K140" i="330"/>
  <c r="K141" i="330"/>
  <c r="K139" i="330"/>
  <c r="K138" i="330"/>
  <c r="K137" i="330"/>
  <c r="K135" i="330"/>
  <c r="K134" i="330"/>
  <c r="K133" i="330"/>
  <c r="K131" i="330"/>
  <c r="K130" i="330"/>
  <c r="K123" i="330"/>
  <c r="K121" i="330"/>
  <c r="K120" i="330"/>
  <c r="K115" i="330"/>
  <c r="K110" i="330"/>
  <c r="K102" i="330"/>
  <c r="K106" i="330"/>
  <c r="K101" i="330"/>
  <c r="K97" i="330"/>
  <c r="K88" i="330"/>
  <c r="K83" i="330"/>
  <c r="K65" i="330"/>
  <c r="K62" i="330"/>
  <c r="K60" i="330"/>
  <c r="K53" i="330"/>
  <c r="K44" i="330"/>
  <c r="K41" i="330"/>
  <c r="K33" i="330"/>
  <c r="K31" i="330"/>
  <c r="K16" i="330"/>
  <c r="K17" i="330"/>
  <c r="K15" i="330"/>
  <c r="K13" i="330"/>
  <c r="K9" i="330"/>
  <c r="H8" i="326" l="1"/>
  <c r="H151" i="242"/>
  <c r="I144" i="242"/>
  <c r="J144" i="242" s="1"/>
  <c r="I88" i="242"/>
  <c r="J88" i="242" s="1"/>
  <c r="I84" i="242"/>
  <c r="J84" i="242" s="1"/>
  <c r="H36" i="181"/>
  <c r="I89" i="318"/>
  <c r="J89" i="318" s="1"/>
  <c r="H99" i="318"/>
  <c r="I40" i="318"/>
  <c r="J40" i="318" s="1"/>
  <c r="I35" i="318"/>
  <c r="J35" i="318" s="1"/>
  <c r="H46" i="318"/>
  <c r="I28" i="318"/>
  <c r="J28" i="318" s="1"/>
  <c r="I27" i="318"/>
  <c r="J27" i="318" s="1"/>
  <c r="I21" i="318"/>
  <c r="J21" i="318" s="1"/>
  <c r="I11" i="318"/>
  <c r="J11" i="318" s="1"/>
  <c r="H45" i="269"/>
  <c r="I43" i="269"/>
  <c r="J43" i="269" s="1"/>
  <c r="I39" i="269"/>
  <c r="J39" i="269" s="1"/>
  <c r="I37" i="269"/>
  <c r="I26" i="269"/>
  <c r="J26" i="269" s="1"/>
  <c r="I24" i="269"/>
  <c r="J24" i="269" s="1"/>
  <c r="I23" i="269"/>
  <c r="J23" i="269" s="1"/>
  <c r="I55" i="270"/>
  <c r="J55" i="270" s="1"/>
  <c r="I52" i="270"/>
  <c r="J52" i="270" s="1"/>
  <c r="I51" i="270"/>
  <c r="J51" i="270" s="1"/>
  <c r="I50" i="270"/>
  <c r="J50" i="270" s="1"/>
  <c r="H36" i="270"/>
  <c r="I27" i="270"/>
  <c r="J27" i="270" s="1"/>
  <c r="I25" i="270"/>
  <c r="J25" i="270" s="1"/>
  <c r="H17" i="270"/>
  <c r="I19" i="270"/>
  <c r="I172" i="324"/>
  <c r="J172" i="324" s="1"/>
  <c r="I36" i="324"/>
  <c r="J36" i="324" s="1"/>
  <c r="I26" i="324"/>
  <c r="J26" i="324" s="1"/>
  <c r="I20" i="324"/>
  <c r="J20" i="324" s="1"/>
  <c r="I19" i="324"/>
  <c r="J19" i="324" s="1"/>
  <c r="I15" i="324"/>
  <c r="J15" i="324" s="1"/>
  <c r="I59" i="268"/>
  <c r="J59" i="268" s="1"/>
  <c r="I54" i="268"/>
  <c r="J54" i="268" s="1"/>
  <c r="G16" i="267"/>
  <c r="I198" i="323"/>
  <c r="J198" i="323" s="1"/>
  <c r="H185" i="323"/>
  <c r="H17" i="323"/>
  <c r="I241" i="330"/>
  <c r="J241" i="330" s="1"/>
  <c r="I215" i="330"/>
  <c r="J215" i="330" s="1"/>
  <c r="I203" i="330"/>
  <c r="J203" i="330" s="1"/>
  <c r="I165" i="330"/>
  <c r="J165" i="330" s="1"/>
  <c r="I159" i="330"/>
  <c r="J159" i="330" s="1"/>
  <c r="I153" i="330"/>
  <c r="J153" i="330" s="1"/>
  <c r="I140" i="330"/>
  <c r="J140" i="330" s="1"/>
  <c r="H132" i="330"/>
  <c r="I121" i="330"/>
  <c r="J121" i="330" s="1"/>
  <c r="I61" i="330"/>
  <c r="J61" i="330" s="1"/>
  <c r="I58" i="330"/>
  <c r="J58" i="330" s="1"/>
  <c r="I43" i="330"/>
  <c r="J43" i="330" s="1"/>
  <c r="I40" i="330"/>
  <c r="J40" i="330" s="1"/>
  <c r="I37" i="330"/>
  <c r="J37" i="330" s="1"/>
  <c r="I34" i="330"/>
  <c r="J34" i="330" s="1"/>
  <c r="I31" i="330"/>
  <c r="J31" i="330" s="1"/>
  <c r="I28" i="330"/>
  <c r="J28" i="330" s="1"/>
  <c r="I18" i="330"/>
  <c r="J18" i="330" s="1"/>
  <c r="H10" i="330"/>
  <c r="K99" i="318"/>
  <c r="I91" i="318"/>
  <c r="J91" i="318" s="1"/>
  <c r="K83" i="318"/>
  <c r="K160" i="242"/>
  <c r="K151" i="242"/>
  <c r="K148" i="242"/>
  <c r="K103" i="242"/>
  <c r="K76" i="242"/>
  <c r="K75" i="242" s="1"/>
  <c r="K45" i="269"/>
  <c r="I44" i="269"/>
  <c r="J44" i="269" s="1"/>
  <c r="I42" i="269"/>
  <c r="J42" i="269" s="1"/>
  <c r="I41" i="269"/>
  <c r="J41" i="269" s="1"/>
  <c r="I40" i="269"/>
  <c r="J40" i="269" s="1"/>
  <c r="I38" i="269"/>
  <c r="J38" i="269" s="1"/>
  <c r="I25" i="269"/>
  <c r="J25" i="269" s="1"/>
  <c r="I20" i="269"/>
  <c r="J20" i="269" s="1"/>
  <c r="I19" i="269"/>
  <c r="J19" i="269" s="1"/>
  <c r="I18" i="269"/>
  <c r="J18" i="269" s="1"/>
  <c r="I28" i="269"/>
  <c r="J28" i="269" s="1"/>
  <c r="I27" i="269"/>
  <c r="J27" i="269" s="1"/>
  <c r="I22" i="269"/>
  <c r="J22" i="269" s="1"/>
  <c r="I21" i="269"/>
  <c r="J21" i="269" s="1"/>
  <c r="I11" i="269"/>
  <c r="J11" i="269" s="1"/>
  <c r="I13" i="269"/>
  <c r="J13" i="269" s="1"/>
  <c r="I14" i="269"/>
  <c r="J14" i="269" s="1"/>
  <c r="I15" i="269"/>
  <c r="J15" i="269" s="1"/>
  <c r="I16" i="269"/>
  <c r="J16" i="269" s="1"/>
  <c r="I12" i="269"/>
  <c r="J12" i="269" s="1"/>
  <c r="I10" i="269"/>
  <c r="J10" i="269" s="1"/>
  <c r="I48" i="270"/>
  <c r="J48" i="270" s="1"/>
  <c r="I47" i="270"/>
  <c r="J47" i="270" s="1"/>
  <c r="I38" i="270"/>
  <c r="J38" i="270" s="1"/>
  <c r="I40" i="270"/>
  <c r="J40" i="270" s="1"/>
  <c r="I41" i="270"/>
  <c r="J41" i="270" s="1"/>
  <c r="I42" i="270"/>
  <c r="J42" i="270" s="1"/>
  <c r="I44" i="270"/>
  <c r="J44" i="270" s="1"/>
  <c r="K45" i="270"/>
  <c r="I54" i="270"/>
  <c r="J54" i="270" s="1"/>
  <c r="I53" i="270"/>
  <c r="J53" i="270" s="1"/>
  <c r="I49" i="270"/>
  <c r="J49" i="270" s="1"/>
  <c r="I43" i="270"/>
  <c r="J43" i="270" s="1"/>
  <c r="I39" i="270"/>
  <c r="J39" i="270" s="1"/>
  <c r="A45" i="270"/>
  <c r="I20" i="270"/>
  <c r="J20" i="270" s="1"/>
  <c r="I18" i="270"/>
  <c r="J18" i="270" s="1"/>
  <c r="I11" i="270"/>
  <c r="J11" i="270" s="1"/>
  <c r="I13" i="270"/>
  <c r="J13" i="270" s="1"/>
  <c r="I14" i="270"/>
  <c r="J14" i="270" s="1"/>
  <c r="I15" i="270"/>
  <c r="J15" i="270" s="1"/>
  <c r="I24" i="270"/>
  <c r="J24" i="270" s="1"/>
  <c r="I23" i="270"/>
  <c r="J23" i="270" s="1"/>
  <c r="I22" i="270"/>
  <c r="J22" i="270" s="1"/>
  <c r="I21" i="270"/>
  <c r="J21" i="270" s="1"/>
  <c r="I12" i="270"/>
  <c r="J12" i="270" s="1"/>
  <c r="I10" i="270"/>
  <c r="J10" i="270" s="1"/>
  <c r="K36" i="182"/>
  <c r="H45" i="174" s="1"/>
  <c r="J12" i="267"/>
  <c r="D76" i="330"/>
  <c r="I46" i="270"/>
  <c r="J46" i="270" s="1"/>
  <c r="I28" i="270"/>
  <c r="J28" i="270" s="1"/>
  <c r="I26" i="270"/>
  <c r="J26" i="270" s="1"/>
  <c r="I9" i="270"/>
  <c r="J9" i="270" s="1"/>
  <c r="I196" i="324"/>
  <c r="J196" i="324" s="1"/>
  <c r="A41" i="324"/>
  <c r="I41" i="324"/>
  <c r="J41" i="324"/>
  <c r="A42" i="324"/>
  <c r="I42" i="324"/>
  <c r="J42" i="324"/>
  <c r="A43" i="324"/>
  <c r="I43" i="324"/>
  <c r="J43" i="324"/>
  <c r="A44" i="324"/>
  <c r="I44" i="324"/>
  <c r="J44" i="324"/>
  <c r="A45" i="324"/>
  <c r="I45" i="324"/>
  <c r="J45" i="324"/>
  <c r="A46" i="324"/>
  <c r="C46" i="324"/>
  <c r="C12" i="268"/>
  <c r="D46" i="324"/>
  <c r="D12" i="268"/>
  <c r="E46" i="324"/>
  <c r="F46" i="324"/>
  <c r="G46" i="324"/>
  <c r="H46" i="324"/>
  <c r="H12" i="268"/>
  <c r="K46" i="324"/>
  <c r="A47" i="324"/>
  <c r="I47" i="324"/>
  <c r="J47" i="324"/>
  <c r="A48" i="324"/>
  <c r="I48" i="324"/>
  <c r="J48" i="324"/>
  <c r="A49" i="324"/>
  <c r="I49" i="324"/>
  <c r="J49" i="324"/>
  <c r="A50" i="324"/>
  <c r="I50" i="324"/>
  <c r="J50" i="324"/>
  <c r="A51" i="324"/>
  <c r="I51" i="324"/>
  <c r="J51" i="324"/>
  <c r="A52" i="324"/>
  <c r="I52" i="324"/>
  <c r="J52" i="324"/>
  <c r="A53" i="324"/>
  <c r="I53" i="324"/>
  <c r="J53" i="324"/>
  <c r="A54" i="324"/>
  <c r="I54" i="324"/>
  <c r="J54" i="324"/>
  <c r="A55" i="324"/>
  <c r="I55" i="324"/>
  <c r="J55" i="324"/>
  <c r="A56" i="324"/>
  <c r="I56" i="324"/>
  <c r="J56" i="324"/>
  <c r="A57" i="324"/>
  <c r="C57" i="324"/>
  <c r="D57" i="324"/>
  <c r="D13" i="268"/>
  <c r="E57" i="324"/>
  <c r="E13" i="268"/>
  <c r="F57" i="324"/>
  <c r="G57" i="324"/>
  <c r="H57" i="324"/>
  <c r="H13" i="268"/>
  <c r="K57" i="324"/>
  <c r="K13" i="268"/>
  <c r="A58" i="324"/>
  <c r="I58" i="324"/>
  <c r="J58" i="324"/>
  <c r="A59" i="324"/>
  <c r="I59" i="324"/>
  <c r="J59" i="324"/>
  <c r="A60" i="324"/>
  <c r="I60" i="324"/>
  <c r="J60" i="324"/>
  <c r="A61" i="324"/>
  <c r="I61" i="324"/>
  <c r="J61" i="324"/>
  <c r="A62" i="324"/>
  <c r="I62" i="324"/>
  <c r="J62" i="324"/>
  <c r="A63" i="324"/>
  <c r="I63" i="324"/>
  <c r="J63" i="324"/>
  <c r="A64" i="324"/>
  <c r="I64" i="324"/>
  <c r="J64" i="324"/>
  <c r="A65" i="324"/>
  <c r="I65" i="324"/>
  <c r="J65" i="324"/>
  <c r="A66" i="324"/>
  <c r="I66" i="324"/>
  <c r="J66" i="324"/>
  <c r="A67" i="324"/>
  <c r="I67" i="324"/>
  <c r="J67" i="324"/>
  <c r="A68" i="324"/>
  <c r="C68" i="324"/>
  <c r="D68" i="324"/>
  <c r="D14" i="268"/>
  <c r="E68" i="324"/>
  <c r="E14" i="268"/>
  <c r="F68" i="324"/>
  <c r="F14" i="268"/>
  <c r="G68" i="324"/>
  <c r="H68" i="324"/>
  <c r="H14" i="268"/>
  <c r="K68" i="324"/>
  <c r="K14" i="268"/>
  <c r="A69" i="324"/>
  <c r="I69" i="324"/>
  <c r="J69" i="324"/>
  <c r="A70" i="324"/>
  <c r="I70" i="324"/>
  <c r="J70" i="324"/>
  <c r="A71" i="324"/>
  <c r="I71" i="324"/>
  <c r="J71" i="324"/>
  <c r="A72" i="324"/>
  <c r="I72" i="324"/>
  <c r="J72" i="324"/>
  <c r="A73" i="324"/>
  <c r="I73" i="324"/>
  <c r="J73" i="324"/>
  <c r="A74" i="324"/>
  <c r="I74" i="324"/>
  <c r="J74" i="324"/>
  <c r="A75" i="324"/>
  <c r="I75" i="324"/>
  <c r="J75" i="324"/>
  <c r="A76" i="324"/>
  <c r="I76" i="324"/>
  <c r="J76" i="324"/>
  <c r="A77" i="324"/>
  <c r="I77" i="324"/>
  <c r="J77" i="324"/>
  <c r="A78" i="324"/>
  <c r="I78" i="324"/>
  <c r="J78" i="324"/>
  <c r="A79" i="324"/>
  <c r="C79" i="324"/>
  <c r="D79" i="324"/>
  <c r="D15" i="268"/>
  <c r="E79" i="324"/>
  <c r="F79" i="324"/>
  <c r="G79" i="324"/>
  <c r="H79" i="324"/>
  <c r="K79" i="324"/>
  <c r="A80" i="324"/>
  <c r="I80" i="324"/>
  <c r="J80" i="324"/>
  <c r="A81" i="324"/>
  <c r="I81" i="324"/>
  <c r="J81" i="324"/>
  <c r="A82" i="324"/>
  <c r="I82" i="324"/>
  <c r="J82" i="324"/>
  <c r="A83" i="324"/>
  <c r="I83" i="324"/>
  <c r="J83" i="324"/>
  <c r="A84" i="324"/>
  <c r="I84" i="324"/>
  <c r="J84" i="324"/>
  <c r="A85" i="324"/>
  <c r="I85" i="324"/>
  <c r="J85" i="324"/>
  <c r="A86" i="324"/>
  <c r="I86" i="324"/>
  <c r="J86" i="324"/>
  <c r="A87" i="324"/>
  <c r="I87" i="324"/>
  <c r="J87" i="324"/>
  <c r="A88" i="324"/>
  <c r="I88" i="324"/>
  <c r="J88" i="324"/>
  <c r="A89" i="324"/>
  <c r="I89" i="324"/>
  <c r="J89" i="324"/>
  <c r="A90" i="324"/>
  <c r="C90" i="324"/>
  <c r="C16" i="268"/>
  <c r="D90" i="324"/>
  <c r="D16" i="268"/>
  <c r="E90" i="324"/>
  <c r="F90" i="324"/>
  <c r="G90" i="324"/>
  <c r="I90" i="324"/>
  <c r="J90" i="324"/>
  <c r="H90" i="324"/>
  <c r="H16" i="268"/>
  <c r="K90" i="324"/>
  <c r="A91" i="324"/>
  <c r="I91" i="324"/>
  <c r="J91" i="324"/>
  <c r="A92" i="324"/>
  <c r="I92" i="324"/>
  <c r="J92" i="324"/>
  <c r="A93" i="324"/>
  <c r="I93" i="324"/>
  <c r="J93" i="324"/>
  <c r="A94" i="324"/>
  <c r="I94" i="324"/>
  <c r="J94" i="324"/>
  <c r="A95" i="324"/>
  <c r="I95" i="324"/>
  <c r="J95" i="324"/>
  <c r="A96" i="324"/>
  <c r="I96" i="324"/>
  <c r="J96" i="324"/>
  <c r="A97" i="324"/>
  <c r="I97" i="324"/>
  <c r="J97" i="324"/>
  <c r="A98" i="324"/>
  <c r="I98" i="324"/>
  <c r="J98" i="324"/>
  <c r="A99" i="324"/>
  <c r="I99" i="324"/>
  <c r="J99" i="324"/>
  <c r="A100" i="324"/>
  <c r="I100" i="324"/>
  <c r="J100" i="324"/>
  <c r="A101" i="324"/>
  <c r="C101" i="324"/>
  <c r="D101" i="324"/>
  <c r="E101" i="324"/>
  <c r="F101" i="324"/>
  <c r="F17" i="268"/>
  <c r="G101" i="324"/>
  <c r="H101" i="324"/>
  <c r="H17" i="268"/>
  <c r="K101" i="324"/>
  <c r="K17" i="268"/>
  <c r="A102" i="324"/>
  <c r="I102" i="324"/>
  <c r="J102" i="324"/>
  <c r="A103" i="324"/>
  <c r="I103" i="324"/>
  <c r="J103" i="324"/>
  <c r="A104" i="324"/>
  <c r="I104" i="324"/>
  <c r="J104" i="324"/>
  <c r="A105" i="324"/>
  <c r="I105" i="324"/>
  <c r="J105" i="324"/>
  <c r="A106" i="324"/>
  <c r="I106" i="324"/>
  <c r="J106" i="324"/>
  <c r="A107" i="324"/>
  <c r="I107" i="324"/>
  <c r="J107" i="324"/>
  <c r="A108" i="324"/>
  <c r="I108" i="324"/>
  <c r="J108" i="324"/>
  <c r="A109" i="324"/>
  <c r="I109" i="324"/>
  <c r="J109" i="324"/>
  <c r="A110" i="324"/>
  <c r="I110" i="324"/>
  <c r="J110" i="324"/>
  <c r="A111" i="324"/>
  <c r="I111" i="324"/>
  <c r="J111" i="324"/>
  <c r="A112" i="324"/>
  <c r="C112" i="324"/>
  <c r="D112" i="324"/>
  <c r="D18" i="268"/>
  <c r="E112" i="324"/>
  <c r="E18" i="268"/>
  <c r="F112" i="324"/>
  <c r="G112" i="324"/>
  <c r="H112" i="324"/>
  <c r="H18" i="268"/>
  <c r="K112" i="324"/>
  <c r="K18" i="268"/>
  <c r="A113" i="324"/>
  <c r="I113" i="324"/>
  <c r="J113" i="324"/>
  <c r="A114" i="324"/>
  <c r="I114" i="324"/>
  <c r="J114" i="324"/>
  <c r="A115" i="324"/>
  <c r="I115" i="324"/>
  <c r="J115" i="324"/>
  <c r="A116" i="324"/>
  <c r="I116" i="324"/>
  <c r="J116" i="324"/>
  <c r="A117" i="324"/>
  <c r="I117" i="324"/>
  <c r="J117" i="324"/>
  <c r="A118" i="324"/>
  <c r="I118" i="324"/>
  <c r="J118" i="324"/>
  <c r="A119" i="324"/>
  <c r="I119" i="324"/>
  <c r="J119" i="324"/>
  <c r="A120" i="324"/>
  <c r="I120" i="324"/>
  <c r="J120" i="324"/>
  <c r="A121" i="324"/>
  <c r="I121" i="324"/>
  <c r="J121" i="324"/>
  <c r="A122" i="324"/>
  <c r="I122" i="324"/>
  <c r="J122" i="324"/>
  <c r="A123" i="324"/>
  <c r="C123" i="324"/>
  <c r="D123" i="324"/>
  <c r="D19" i="268"/>
  <c r="E123" i="324"/>
  <c r="F123" i="324"/>
  <c r="G123" i="324"/>
  <c r="H123" i="324"/>
  <c r="K123" i="324"/>
  <c r="A124" i="324"/>
  <c r="I124" i="324"/>
  <c r="J124" i="324"/>
  <c r="A125" i="324"/>
  <c r="I125" i="324"/>
  <c r="J125" i="324"/>
  <c r="A126" i="324"/>
  <c r="I126" i="324"/>
  <c r="J126" i="324"/>
  <c r="A127" i="324"/>
  <c r="I127" i="324"/>
  <c r="J127" i="324"/>
  <c r="A128" i="324"/>
  <c r="I128" i="324"/>
  <c r="J128" i="324"/>
  <c r="A129" i="324"/>
  <c r="I129" i="324"/>
  <c r="J129" i="324"/>
  <c r="A130" i="324"/>
  <c r="I130" i="324"/>
  <c r="J130" i="324"/>
  <c r="A131" i="324"/>
  <c r="I131" i="324"/>
  <c r="J131" i="324"/>
  <c r="A132" i="324"/>
  <c r="I132" i="324"/>
  <c r="J132" i="324"/>
  <c r="A133" i="324"/>
  <c r="I133" i="324"/>
  <c r="J133" i="324"/>
  <c r="A134" i="324"/>
  <c r="C134" i="324"/>
  <c r="C20" i="268"/>
  <c r="D134" i="324"/>
  <c r="D20" i="268"/>
  <c r="E134" i="324"/>
  <c r="F134" i="324"/>
  <c r="G134" i="324"/>
  <c r="I134" i="324"/>
  <c r="J134" i="324"/>
  <c r="H134" i="324"/>
  <c r="K134" i="324"/>
  <c r="A135" i="324"/>
  <c r="I135" i="324"/>
  <c r="J135" i="324"/>
  <c r="A136" i="324"/>
  <c r="I136" i="324"/>
  <c r="J136" i="324"/>
  <c r="A137" i="324"/>
  <c r="I137" i="324"/>
  <c r="J137" i="324"/>
  <c r="A138" i="324"/>
  <c r="I138" i="324"/>
  <c r="J138" i="324"/>
  <c r="A139" i="324"/>
  <c r="I139" i="324"/>
  <c r="J139" i="324"/>
  <c r="A140" i="324"/>
  <c r="I140" i="324"/>
  <c r="J140" i="324"/>
  <c r="A141" i="324"/>
  <c r="I141" i="324"/>
  <c r="J141" i="324"/>
  <c r="A142" i="324"/>
  <c r="I142" i="324"/>
  <c r="J142" i="324"/>
  <c r="A143" i="324"/>
  <c r="I143" i="324"/>
  <c r="J143" i="324"/>
  <c r="A144" i="324"/>
  <c r="I144" i="324"/>
  <c r="J144" i="324"/>
  <c r="L144" i="324"/>
  <c r="M144" i="324"/>
  <c r="N144" i="324"/>
  <c r="O144" i="324"/>
  <c r="P144" i="324"/>
  <c r="Q144" i="324"/>
  <c r="R144" i="324"/>
  <c r="S144" i="324"/>
  <c r="T144" i="324"/>
  <c r="U144" i="324"/>
  <c r="V144" i="324"/>
  <c r="W144" i="324"/>
  <c r="E12" i="268"/>
  <c r="E15" i="268"/>
  <c r="E16" i="268"/>
  <c r="E17" i="268"/>
  <c r="E19" i="268"/>
  <c r="E20" i="268"/>
  <c r="I14" i="181"/>
  <c r="J14" i="181" s="1"/>
  <c r="I33" i="181"/>
  <c r="J33" i="181" s="1"/>
  <c r="I25" i="181"/>
  <c r="J25" i="181" s="1"/>
  <c r="I16" i="181"/>
  <c r="J16" i="181" s="1"/>
  <c r="I12" i="181"/>
  <c r="J12" i="181" s="1"/>
  <c r="I10" i="181"/>
  <c r="J10" i="181" s="1"/>
  <c r="I145" i="242"/>
  <c r="J145" i="242"/>
  <c r="I96" i="242"/>
  <c r="J96" i="242" s="1"/>
  <c r="I92" i="242"/>
  <c r="J92" i="242" s="1"/>
  <c r="I85" i="242"/>
  <c r="J85" i="242" s="1"/>
  <c r="I81" i="242"/>
  <c r="J81" i="242" s="1"/>
  <c r="I78" i="242"/>
  <c r="J78" i="242" s="1"/>
  <c r="H8" i="242"/>
  <c r="I105" i="325"/>
  <c r="J105" i="325" s="1"/>
  <c r="I97" i="325"/>
  <c r="J97" i="325"/>
  <c r="I93" i="325"/>
  <c r="J93" i="325" s="1"/>
  <c r="I89" i="325"/>
  <c r="J89" i="325"/>
  <c r="I85" i="325"/>
  <c r="J85" i="325"/>
  <c r="I81" i="325"/>
  <c r="J81" i="325"/>
  <c r="H76" i="325"/>
  <c r="I76" i="325" s="1"/>
  <c r="J76" i="325" s="1"/>
  <c r="H8" i="325"/>
  <c r="I8" i="325" s="1"/>
  <c r="J8" i="325" s="1"/>
  <c r="H157" i="333"/>
  <c r="H154" i="333"/>
  <c r="H151" i="333"/>
  <c r="H148" i="333"/>
  <c r="I144" i="333"/>
  <c r="J144" i="333" s="1"/>
  <c r="I129" i="333"/>
  <c r="J129" i="333" s="1"/>
  <c r="I124" i="333"/>
  <c r="J124" i="333" s="1"/>
  <c r="I123" i="333"/>
  <c r="J123" i="333" s="1"/>
  <c r="I102" i="333"/>
  <c r="J102" i="333" s="1"/>
  <c r="I97" i="333"/>
  <c r="J97" i="333" s="1"/>
  <c r="I95" i="333"/>
  <c r="J95" i="333" s="1"/>
  <c r="I94" i="333"/>
  <c r="J94" i="333" s="1"/>
  <c r="I93" i="333"/>
  <c r="J93" i="333" s="1"/>
  <c r="I91" i="333"/>
  <c r="J91" i="333" s="1"/>
  <c r="I89" i="333"/>
  <c r="J89" i="333" s="1"/>
  <c r="I87" i="333"/>
  <c r="J87" i="333" s="1"/>
  <c r="I85" i="333"/>
  <c r="J85" i="333" s="1"/>
  <c r="I83" i="333"/>
  <c r="J83" i="333" s="1"/>
  <c r="I81" i="333"/>
  <c r="J81" i="333" s="1"/>
  <c r="I79" i="333"/>
  <c r="J79" i="333" s="1"/>
  <c r="I77" i="333"/>
  <c r="J77" i="333" s="1"/>
  <c r="I29" i="333"/>
  <c r="J29" i="333" s="1"/>
  <c r="H27" i="333"/>
  <c r="H17" i="333"/>
  <c r="I23" i="333"/>
  <c r="J23" i="333" s="1"/>
  <c r="I20" i="333"/>
  <c r="J20" i="333" s="1"/>
  <c r="I12" i="333"/>
  <c r="J12" i="333" s="1"/>
  <c r="I11" i="333"/>
  <c r="J11" i="333" s="1"/>
  <c r="H157" i="335"/>
  <c r="I149" i="335"/>
  <c r="J149" i="335" s="1"/>
  <c r="H114" i="335"/>
  <c r="I106" i="335"/>
  <c r="J106" i="335" s="1"/>
  <c r="I101" i="335"/>
  <c r="J101" i="335" s="1"/>
  <c r="H99" i="335"/>
  <c r="I97" i="335"/>
  <c r="J97" i="335" s="1"/>
  <c r="I93" i="335"/>
  <c r="J93" i="335" s="1"/>
  <c r="I89" i="335"/>
  <c r="J89" i="335" s="1"/>
  <c r="I85" i="335"/>
  <c r="J85" i="335" s="1"/>
  <c r="I81" i="335"/>
  <c r="J81" i="335" s="1"/>
  <c r="I77" i="335"/>
  <c r="J77" i="335" s="1"/>
  <c r="H69" i="335"/>
  <c r="I69" i="335"/>
  <c r="J69" i="335"/>
  <c r="H63" i="335"/>
  <c r="I63" i="335"/>
  <c r="J63" i="335"/>
  <c r="I59" i="335"/>
  <c r="J59" i="335"/>
  <c r="H53" i="335"/>
  <c r="I53" i="335"/>
  <c r="J53" i="335"/>
  <c r="I51" i="335"/>
  <c r="J51" i="335" s="1"/>
  <c r="I47" i="335"/>
  <c r="J47" i="335" s="1"/>
  <c r="I46" i="335"/>
  <c r="J46" i="335" s="1"/>
  <c r="H38" i="335"/>
  <c r="I34" i="335"/>
  <c r="J34" i="335" s="1"/>
  <c r="I30" i="335"/>
  <c r="J30" i="335" s="1"/>
  <c r="I25" i="335"/>
  <c r="J25" i="335" s="1"/>
  <c r="H17" i="335"/>
  <c r="I14" i="335"/>
  <c r="J14" i="335"/>
  <c r="I39" i="324"/>
  <c r="J39" i="324" s="1"/>
  <c r="I38" i="324"/>
  <c r="J38" i="324" s="1"/>
  <c r="I34" i="324"/>
  <c r="J34" i="324" s="1"/>
  <c r="I33" i="324"/>
  <c r="J33" i="324" s="1"/>
  <c r="I32" i="324"/>
  <c r="J32" i="324" s="1"/>
  <c r="I30" i="324"/>
  <c r="J30" i="324" s="1"/>
  <c r="I28" i="324"/>
  <c r="J28" i="324" s="1"/>
  <c r="I25" i="324"/>
  <c r="J25" i="324" s="1"/>
  <c r="I24" i="324"/>
  <c r="J24" i="324" s="1"/>
  <c r="I22" i="324"/>
  <c r="J22" i="324" s="1"/>
  <c r="I21" i="324"/>
  <c r="J21" i="324" s="1"/>
  <c r="I16" i="324"/>
  <c r="J16" i="324" s="1"/>
  <c r="I13" i="324"/>
  <c r="J13" i="324" s="1"/>
  <c r="I11" i="324"/>
  <c r="J11" i="324" s="1"/>
  <c r="I10" i="324"/>
  <c r="J10" i="324" s="1"/>
  <c r="I9" i="324"/>
  <c r="J9" i="324" s="1"/>
  <c r="I66" i="268"/>
  <c r="J66" i="268" s="1"/>
  <c r="H47" i="268"/>
  <c r="H43" i="268"/>
  <c r="I245" i="330"/>
  <c r="J245" i="330" s="1"/>
  <c r="I237" i="330"/>
  <c r="J237" i="330" s="1"/>
  <c r="I236" i="330"/>
  <c r="J236" i="330" s="1"/>
  <c r="I232" i="330"/>
  <c r="J232" i="330" s="1"/>
  <c r="H230" i="330"/>
  <c r="H46" i="241" s="1"/>
  <c r="H222" i="330"/>
  <c r="H44" i="241" s="1"/>
  <c r="I218" i="330"/>
  <c r="J218" i="330" s="1"/>
  <c r="I212" i="330"/>
  <c r="J212" i="330" s="1"/>
  <c r="I204" i="330"/>
  <c r="J204" i="330" s="1"/>
  <c r="I183" i="330"/>
  <c r="J183" i="330" s="1"/>
  <c r="I180" i="330"/>
  <c r="J180" i="330" s="1"/>
  <c r="H177" i="330"/>
  <c r="H36" i="241" s="1"/>
  <c r="I175" i="330"/>
  <c r="J175" i="330" s="1"/>
  <c r="I174" i="330"/>
  <c r="J174" i="330" s="1"/>
  <c r="I167" i="330"/>
  <c r="J167" i="330" s="1"/>
  <c r="I164" i="330"/>
  <c r="J164" i="330" s="1"/>
  <c r="I160" i="330"/>
  <c r="J160" i="330" s="1"/>
  <c r="I156" i="330"/>
  <c r="J156" i="330" s="1"/>
  <c r="I152" i="330"/>
  <c r="J152" i="330" s="1"/>
  <c r="I144" i="330"/>
  <c r="J144" i="330" s="1"/>
  <c r="I136" i="330"/>
  <c r="J136" i="330" s="1"/>
  <c r="H108" i="330"/>
  <c r="H23" i="241" s="1"/>
  <c r="H104" i="330"/>
  <c r="H22" i="241" s="1"/>
  <c r="H87" i="330"/>
  <c r="H55" i="330"/>
  <c r="H13" i="241" s="1"/>
  <c r="I57" i="330"/>
  <c r="J57" i="330" s="1"/>
  <c r="I53" i="330"/>
  <c r="J53" i="330" s="1"/>
  <c r="I47" i="330"/>
  <c r="J47" i="330" s="1"/>
  <c r="I45" i="330"/>
  <c r="J45" i="330" s="1"/>
  <c r="I41" i="330"/>
  <c r="J41" i="330" s="1"/>
  <c r="I22" i="330"/>
  <c r="J22" i="330" s="1"/>
  <c r="I20" i="330"/>
  <c r="J20" i="330" s="1"/>
  <c r="I16" i="330"/>
  <c r="J16" i="330" s="1"/>
  <c r="I14" i="330"/>
  <c r="J14" i="330" s="1"/>
  <c r="G17" i="267"/>
  <c r="I27" i="182"/>
  <c r="J27" i="182" s="1"/>
  <c r="H22" i="182"/>
  <c r="H53" i="182" s="1"/>
  <c r="O33" i="317"/>
  <c r="I33" i="317"/>
  <c r="I54" i="317" s="1"/>
  <c r="I66" i="317" s="1"/>
  <c r="H33" i="317"/>
  <c r="C33" i="317"/>
  <c r="A25" i="317"/>
  <c r="A24" i="317"/>
  <c r="A69" i="268"/>
  <c r="A22" i="267"/>
  <c r="A25" i="238"/>
  <c r="N22" i="238"/>
  <c r="K22" i="238"/>
  <c r="N12" i="238"/>
  <c r="M12" i="238"/>
  <c r="K12" i="238"/>
  <c r="O21" i="238"/>
  <c r="O19" i="238"/>
  <c r="O17" i="238"/>
  <c r="O16" i="238"/>
  <c r="O15" i="238"/>
  <c r="O11" i="238"/>
  <c r="O10" i="238"/>
  <c r="O9" i="238"/>
  <c r="O8" i="238"/>
  <c r="O7" i="238"/>
  <c r="O6" i="238"/>
  <c r="O5" i="238"/>
  <c r="J7" i="267"/>
  <c r="G7" i="267"/>
  <c r="F7" i="267"/>
  <c r="E7" i="267"/>
  <c r="D7" i="267"/>
  <c r="C7" i="267"/>
  <c r="B7" i="267"/>
  <c r="K22" i="181"/>
  <c r="G22" i="181"/>
  <c r="F22" i="181"/>
  <c r="E22" i="181"/>
  <c r="D22" i="181"/>
  <c r="C22" i="181"/>
  <c r="Q21" i="317"/>
  <c r="Q33" i="317" s="1"/>
  <c r="P21" i="317"/>
  <c r="P33" i="317" s="1"/>
  <c r="M33" i="317"/>
  <c r="L33" i="317"/>
  <c r="K33" i="317"/>
  <c r="K54" i="317"/>
  <c r="J33" i="317"/>
  <c r="J54" i="317" s="1"/>
  <c r="G33" i="317"/>
  <c r="F33" i="317"/>
  <c r="E33" i="317"/>
  <c r="E54" i="317" s="1"/>
  <c r="E66" i="317" s="1"/>
  <c r="D33" i="317"/>
  <c r="G25" i="178"/>
  <c r="G26" i="178" s="1"/>
  <c r="H39" i="174" s="1"/>
  <c r="F25" i="178"/>
  <c r="E25" i="178"/>
  <c r="D25" i="178"/>
  <c r="D26" i="178"/>
  <c r="E39" i="174"/>
  <c r="C25" i="178"/>
  <c r="K22" i="182"/>
  <c r="K53" i="182" s="1"/>
  <c r="G22" i="182"/>
  <c r="G55" i="174" s="1"/>
  <c r="F22" i="182"/>
  <c r="F53" i="182" s="1"/>
  <c r="E22" i="182"/>
  <c r="D22" i="182"/>
  <c r="D53" i="182"/>
  <c r="C22" i="182"/>
  <c r="I184" i="330"/>
  <c r="J184" i="330" s="1"/>
  <c r="A184" i="330"/>
  <c r="A183" i="330"/>
  <c r="I62" i="330"/>
  <c r="J62" i="330" s="1"/>
  <c r="K53" i="333"/>
  <c r="H53" i="333"/>
  <c r="G53" i="333"/>
  <c r="I53" i="333" s="1"/>
  <c r="J53" i="333" s="1"/>
  <c r="F53" i="333"/>
  <c r="E53" i="333"/>
  <c r="D53" i="333"/>
  <c r="K53" i="335"/>
  <c r="G53" i="335"/>
  <c r="F53" i="335"/>
  <c r="E53" i="335"/>
  <c r="D53" i="335"/>
  <c r="K8" i="335"/>
  <c r="H8" i="335"/>
  <c r="G8" i="335"/>
  <c r="F8" i="335"/>
  <c r="E8" i="335"/>
  <c r="D8" i="335"/>
  <c r="K8" i="333"/>
  <c r="G8" i="333"/>
  <c r="F8" i="333"/>
  <c r="E8" i="333"/>
  <c r="D8" i="333"/>
  <c r="K53" i="325"/>
  <c r="H53" i="325"/>
  <c r="G53" i="325"/>
  <c r="I53" i="325" s="1"/>
  <c r="J53" i="325" s="1"/>
  <c r="F53" i="325"/>
  <c r="E53" i="325"/>
  <c r="D53" i="325"/>
  <c r="K8" i="325"/>
  <c r="G8" i="325"/>
  <c r="F8" i="325"/>
  <c r="E8" i="325"/>
  <c r="D8" i="325"/>
  <c r="K53" i="326"/>
  <c r="H53" i="326"/>
  <c r="G53" i="326"/>
  <c r="I53" i="326"/>
  <c r="J53" i="326"/>
  <c r="F53" i="326"/>
  <c r="E53" i="326"/>
  <c r="D53" i="326"/>
  <c r="K8" i="326"/>
  <c r="G8" i="326"/>
  <c r="F8" i="326"/>
  <c r="E8" i="326"/>
  <c r="D8" i="326"/>
  <c r="K53" i="242"/>
  <c r="H53" i="242"/>
  <c r="G53" i="242"/>
  <c r="F53" i="242"/>
  <c r="E53" i="242"/>
  <c r="D53" i="242"/>
  <c r="K8" i="242"/>
  <c r="G8" i="242"/>
  <c r="F8" i="242"/>
  <c r="E8" i="242"/>
  <c r="D8" i="242"/>
  <c r="A180" i="330"/>
  <c r="E100" i="100"/>
  <c r="F100" i="100"/>
  <c r="A168" i="335"/>
  <c r="J165" i="335"/>
  <c r="I164" i="335"/>
  <c r="J164" i="335"/>
  <c r="K163" i="335"/>
  <c r="H163" i="335"/>
  <c r="I163" i="335"/>
  <c r="J163" i="335"/>
  <c r="G163" i="335"/>
  <c r="F163" i="335"/>
  <c r="E163" i="335"/>
  <c r="D163" i="335"/>
  <c r="C163" i="335"/>
  <c r="I161" i="335"/>
  <c r="J161" i="335"/>
  <c r="K160" i="335"/>
  <c r="H160" i="335"/>
  <c r="G160" i="335"/>
  <c r="I160" i="335"/>
  <c r="J160" i="335"/>
  <c r="F160" i="335"/>
  <c r="E160" i="335"/>
  <c r="D160" i="335"/>
  <c r="C160" i="335"/>
  <c r="I158" i="335"/>
  <c r="J158" i="335" s="1"/>
  <c r="K157" i="335"/>
  <c r="G157" i="335"/>
  <c r="F157" i="335"/>
  <c r="E157" i="335"/>
  <c r="D157" i="335"/>
  <c r="C157" i="335"/>
  <c r="I155" i="335"/>
  <c r="J155" i="335"/>
  <c r="K154" i="335"/>
  <c r="H154" i="335"/>
  <c r="G154" i="335"/>
  <c r="I154" i="335"/>
  <c r="J154" i="335"/>
  <c r="F154" i="335"/>
  <c r="E154" i="335"/>
  <c r="D154" i="335"/>
  <c r="C154" i="335"/>
  <c r="J153" i="335"/>
  <c r="I152" i="335"/>
  <c r="J152" i="335" s="1"/>
  <c r="K151" i="335"/>
  <c r="H151" i="335"/>
  <c r="I151" i="335" s="1"/>
  <c r="J151" i="335" s="1"/>
  <c r="G151" i="335"/>
  <c r="F151" i="335"/>
  <c r="E151" i="335"/>
  <c r="D151" i="335"/>
  <c r="C151" i="335"/>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H140" i="335"/>
  <c r="I140" i="335" s="1"/>
  <c r="J140" i="335" s="1"/>
  <c r="G140" i="335"/>
  <c r="F140" i="335"/>
  <c r="F138" i="335" s="1"/>
  <c r="E140" i="335"/>
  <c r="E138" i="335" s="1"/>
  <c r="D140" i="335"/>
  <c r="D138" i="335"/>
  <c r="C140" i="335"/>
  <c r="C138" i="335"/>
  <c r="I139" i="335"/>
  <c r="J139" i="335"/>
  <c r="K138" i="335"/>
  <c r="J137" i="335"/>
  <c r="I136" i="335"/>
  <c r="J136" i="335"/>
  <c r="K135" i="335"/>
  <c r="H135" i="335"/>
  <c r="G135" i="335"/>
  <c r="F135" i="335"/>
  <c r="E135" i="335"/>
  <c r="D135" i="335"/>
  <c r="C135" i="335"/>
  <c r="J134" i="335"/>
  <c r="I133" i="335"/>
  <c r="J133" i="335"/>
  <c r="I132" i="335"/>
  <c r="J132" i="335" s="1"/>
  <c r="I131" i="335"/>
  <c r="J131" i="335"/>
  <c r="K130" i="335"/>
  <c r="H130" i="335"/>
  <c r="H117" i="335" s="1"/>
  <c r="I117" i="335" s="1"/>
  <c r="J117" i="335" s="1"/>
  <c r="G130" i="335"/>
  <c r="F130" i="335"/>
  <c r="E130" i="335"/>
  <c r="E117" i="335" s="1"/>
  <c r="D130" i="335"/>
  <c r="C130" i="335"/>
  <c r="I129" i="335"/>
  <c r="J129" i="335"/>
  <c r="I128" i="335"/>
  <c r="J128" i="335"/>
  <c r="I127" i="335"/>
  <c r="J127" i="335"/>
  <c r="I126" i="335"/>
  <c r="J126" i="335"/>
  <c r="I125" i="335"/>
  <c r="J125" i="335"/>
  <c r="I124" i="335"/>
  <c r="J124" i="335"/>
  <c r="I123" i="335"/>
  <c r="J123" i="335"/>
  <c r="I122" i="335"/>
  <c r="J122" i="335"/>
  <c r="I121" i="335"/>
  <c r="J121" i="335"/>
  <c r="I120" i="335"/>
  <c r="J120" i="335"/>
  <c r="I119" i="335"/>
  <c r="J119" i="335"/>
  <c r="K118" i="335"/>
  <c r="K117" i="335"/>
  <c r="H118" i="335"/>
  <c r="G118" i="335"/>
  <c r="F118" i="335"/>
  <c r="F117" i="335"/>
  <c r="E118" i="335"/>
  <c r="D118" i="335"/>
  <c r="D117" i="335"/>
  <c r="C118" i="335"/>
  <c r="C117" i="335"/>
  <c r="I116" i="335"/>
  <c r="J116" i="335"/>
  <c r="K114" i="335"/>
  <c r="G114" i="335"/>
  <c r="F114" i="335"/>
  <c r="F110" i="335"/>
  <c r="E114" i="335"/>
  <c r="D114" i="335"/>
  <c r="C114" i="335"/>
  <c r="I113" i="335"/>
  <c r="J113" i="335"/>
  <c r="I112" i="335"/>
  <c r="J112" i="335"/>
  <c r="K111" i="335"/>
  <c r="K110" i="335"/>
  <c r="H111" i="335"/>
  <c r="G111" i="335"/>
  <c r="I111" i="335"/>
  <c r="J111" i="335"/>
  <c r="F111" i="335"/>
  <c r="E111" i="335"/>
  <c r="D111" i="335"/>
  <c r="D110" i="335"/>
  <c r="C111" i="335"/>
  <c r="C110" i="335"/>
  <c r="I109" i="335"/>
  <c r="J109" i="335"/>
  <c r="I108" i="335"/>
  <c r="J108" i="335" s="1"/>
  <c r="I107" i="335"/>
  <c r="J107" i="335" s="1"/>
  <c r="I105" i="335"/>
  <c r="J105" i="335" s="1"/>
  <c r="I104" i="335"/>
  <c r="J104" i="335" s="1"/>
  <c r="K103" i="335"/>
  <c r="G103" i="335"/>
  <c r="F103" i="335"/>
  <c r="E103" i="335"/>
  <c r="D103" i="335"/>
  <c r="C103" i="335"/>
  <c r="I102" i="335"/>
  <c r="J102" i="335" s="1"/>
  <c r="I100" i="335"/>
  <c r="J100" i="335"/>
  <c r="K99" i="335"/>
  <c r="G99" i="335"/>
  <c r="I99" i="335" s="1"/>
  <c r="J99" i="335" s="1"/>
  <c r="F99" i="335"/>
  <c r="E99" i="335"/>
  <c r="D99" i="335"/>
  <c r="C99" i="335"/>
  <c r="I98" i="335"/>
  <c r="J98" i="335" s="1"/>
  <c r="I96" i="335"/>
  <c r="J96" i="335" s="1"/>
  <c r="I95" i="335"/>
  <c r="J95" i="335" s="1"/>
  <c r="I94" i="335"/>
  <c r="J94" i="335" s="1"/>
  <c r="I92" i="335"/>
  <c r="J92" i="335" s="1"/>
  <c r="I91" i="335"/>
  <c r="J91" i="335" s="1"/>
  <c r="I90" i="335"/>
  <c r="J90" i="335" s="1"/>
  <c r="I88" i="335"/>
  <c r="J88" i="335" s="1"/>
  <c r="I87" i="335"/>
  <c r="J87" i="335" s="1"/>
  <c r="I86" i="335"/>
  <c r="J86" i="335" s="1"/>
  <c r="I84" i="335"/>
  <c r="J84" i="335" s="1"/>
  <c r="I83" i="335"/>
  <c r="J83" i="335" s="1"/>
  <c r="I82" i="335"/>
  <c r="J82" i="335" s="1"/>
  <c r="I80" i="335"/>
  <c r="J80" i="335" s="1"/>
  <c r="I79" i="335"/>
  <c r="J79" i="335" s="1"/>
  <c r="I78" i="335"/>
  <c r="J78" i="335" s="1"/>
  <c r="K76" i="335"/>
  <c r="K75" i="335" s="1"/>
  <c r="G76" i="335"/>
  <c r="F76" i="335"/>
  <c r="E76" i="335"/>
  <c r="D76" i="335"/>
  <c r="D75" i="335"/>
  <c r="C76" i="335"/>
  <c r="C75" i="335"/>
  <c r="J74" i="335"/>
  <c r="I73" i="335"/>
  <c r="J73" i="335"/>
  <c r="I72" i="335"/>
  <c r="J72" i="335"/>
  <c r="I71" i="335"/>
  <c r="J71" i="335"/>
  <c r="I70" i="335"/>
  <c r="J70" i="335"/>
  <c r="K69" i="335"/>
  <c r="G69" i="335"/>
  <c r="F69" i="335"/>
  <c r="E69" i="335"/>
  <c r="D69" i="335"/>
  <c r="C69" i="335"/>
  <c r="I68" i="335"/>
  <c r="J68" i="335"/>
  <c r="I67" i="335"/>
  <c r="J67" i="335"/>
  <c r="I66" i="335"/>
  <c r="J66" i="335"/>
  <c r="I65" i="335"/>
  <c r="J65" i="335"/>
  <c r="I64" i="335"/>
  <c r="J64" i="335"/>
  <c r="K63" i="335"/>
  <c r="G63" i="335"/>
  <c r="F63" i="335"/>
  <c r="E63" i="335"/>
  <c r="D63" i="335"/>
  <c r="C63" i="335"/>
  <c r="I62" i="335"/>
  <c r="J62" i="335"/>
  <c r="I61" i="335"/>
  <c r="J61" i="335"/>
  <c r="I60" i="335"/>
  <c r="J60" i="335"/>
  <c r="I58" i="335"/>
  <c r="J58" i="335"/>
  <c r="I57" i="335"/>
  <c r="J57" i="335"/>
  <c r="I56" i="335"/>
  <c r="J56" i="335"/>
  <c r="I54" i="335"/>
  <c r="J54" i="335"/>
  <c r="C53" i="335"/>
  <c r="I52" i="335"/>
  <c r="J52" i="335" s="1"/>
  <c r="I50" i="335"/>
  <c r="J50" i="335" s="1"/>
  <c r="I49" i="335"/>
  <c r="J49" i="335" s="1"/>
  <c r="I48" i="335"/>
  <c r="J48" i="335" s="1"/>
  <c r="K45" i="335"/>
  <c r="G45" i="335"/>
  <c r="F45" i="335"/>
  <c r="E45" i="335"/>
  <c r="D45" i="335"/>
  <c r="C45" i="335"/>
  <c r="I44" i="335"/>
  <c r="J44" i="335" s="1"/>
  <c r="I43" i="335"/>
  <c r="J43" i="335" s="1"/>
  <c r="I42" i="335"/>
  <c r="J42" i="335" s="1"/>
  <c r="I40" i="335"/>
  <c r="J40" i="335" s="1"/>
  <c r="I39" i="335"/>
  <c r="J39" i="335" s="1"/>
  <c r="K38" i="335"/>
  <c r="G38" i="335"/>
  <c r="I38" i="335" s="1"/>
  <c r="J38" i="335" s="1"/>
  <c r="F38" i="335"/>
  <c r="E38" i="335"/>
  <c r="D38" i="335"/>
  <c r="C38" i="335"/>
  <c r="I37" i="335"/>
  <c r="J37" i="335" s="1"/>
  <c r="I36" i="335"/>
  <c r="J36" i="335" s="1"/>
  <c r="I35" i="335"/>
  <c r="J35" i="335" s="1"/>
  <c r="I33" i="335"/>
  <c r="J33" i="335" s="1"/>
  <c r="I32" i="335"/>
  <c r="J32" i="335" s="1"/>
  <c r="I31" i="335"/>
  <c r="J31" i="335" s="1"/>
  <c r="I29" i="335"/>
  <c r="J29" i="335" s="1"/>
  <c r="I28" i="335"/>
  <c r="J28" i="335" s="1"/>
  <c r="K27" i="335"/>
  <c r="G27" i="335"/>
  <c r="F27" i="335"/>
  <c r="E27" i="335"/>
  <c r="D27" i="335"/>
  <c r="C27" i="335"/>
  <c r="I26" i="335"/>
  <c r="J26" i="335"/>
  <c r="I24" i="335"/>
  <c r="J24" i="335" s="1"/>
  <c r="I23" i="335"/>
  <c r="J23" i="335" s="1"/>
  <c r="I22" i="335"/>
  <c r="J22" i="335"/>
  <c r="I20" i="335"/>
  <c r="J20" i="335" s="1"/>
  <c r="I19" i="335"/>
  <c r="J19" i="335" s="1"/>
  <c r="I18" i="335"/>
  <c r="J18" i="335" s="1"/>
  <c r="K17" i="335"/>
  <c r="G17" i="335"/>
  <c r="F17" i="335"/>
  <c r="E17" i="335"/>
  <c r="D17" i="335"/>
  <c r="C17" i="335"/>
  <c r="I16" i="335"/>
  <c r="J16" i="335"/>
  <c r="I15" i="335"/>
  <c r="J15" i="335"/>
  <c r="K13" i="335"/>
  <c r="H13" i="335"/>
  <c r="I13" i="335"/>
  <c r="J13" i="335"/>
  <c r="G13" i="335"/>
  <c r="F13" i="335"/>
  <c r="E13" i="335"/>
  <c r="D13" i="335"/>
  <c r="C13" i="335"/>
  <c r="I12" i="335"/>
  <c r="J12" i="335" s="1"/>
  <c r="I11" i="335"/>
  <c r="J11" i="335" s="1"/>
  <c r="I10" i="335"/>
  <c r="J10" i="335" s="1"/>
  <c r="I9" i="335"/>
  <c r="J9" i="335" s="1"/>
  <c r="C8" i="335"/>
  <c r="K3" i="335"/>
  <c r="J3" i="335"/>
  <c r="I3" i="335"/>
  <c r="H3" i="335"/>
  <c r="G3" i="335"/>
  <c r="F3" i="335"/>
  <c r="E3" i="335"/>
  <c r="D3" i="335"/>
  <c r="C3" i="335"/>
  <c r="B2" i="335"/>
  <c r="A2" i="335"/>
  <c r="J165" i="333"/>
  <c r="I164" i="333"/>
  <c r="J164" i="333"/>
  <c r="K163" i="333"/>
  <c r="H163" i="333"/>
  <c r="G163" i="333"/>
  <c r="F163" i="333"/>
  <c r="E163" i="333"/>
  <c r="D163" i="333"/>
  <c r="C163" i="333"/>
  <c r="I161" i="333"/>
  <c r="J161" i="333" s="1"/>
  <c r="K160" i="333"/>
  <c r="H160" i="333"/>
  <c r="G160" i="333"/>
  <c r="I160" i="333" s="1"/>
  <c r="J160" i="333" s="1"/>
  <c r="F160" i="333"/>
  <c r="E160" i="333"/>
  <c r="D160" i="333"/>
  <c r="C160" i="333"/>
  <c r="I158" i="333"/>
  <c r="J158" i="333" s="1"/>
  <c r="K157" i="333"/>
  <c r="G157" i="333"/>
  <c r="F157" i="333"/>
  <c r="E157" i="333"/>
  <c r="D157" i="333"/>
  <c r="C157" i="333"/>
  <c r="I155" i="333"/>
  <c r="J155" i="333" s="1"/>
  <c r="K154" i="333"/>
  <c r="G154" i="333"/>
  <c r="F154" i="333"/>
  <c r="E154" i="333"/>
  <c r="D154" i="333"/>
  <c r="C154" i="333"/>
  <c r="J153" i="333"/>
  <c r="I152" i="333"/>
  <c r="J152" i="333" s="1"/>
  <c r="K151" i="333"/>
  <c r="G151" i="333"/>
  <c r="I151" i="333" s="1"/>
  <c r="J151" i="333" s="1"/>
  <c r="F151" i="333"/>
  <c r="E151" i="333"/>
  <c r="D151" i="333"/>
  <c r="C151" i="333"/>
  <c r="K148" i="333"/>
  <c r="G148" i="333"/>
  <c r="F148" i="333"/>
  <c r="E148" i="333"/>
  <c r="D148" i="333"/>
  <c r="C148" i="333"/>
  <c r="I146" i="333"/>
  <c r="J146" i="333" s="1"/>
  <c r="I145" i="333"/>
  <c r="J145" i="333" s="1"/>
  <c r="I143" i="333"/>
  <c r="J143" i="333" s="1"/>
  <c r="I142" i="333"/>
  <c r="J142" i="333" s="1"/>
  <c r="I141" i="333"/>
  <c r="J141" i="333" s="1"/>
  <c r="K140" i="333"/>
  <c r="K138" i="333" s="1"/>
  <c r="G140" i="333"/>
  <c r="F140" i="333"/>
  <c r="F138" i="333" s="1"/>
  <c r="E140" i="333"/>
  <c r="E138" i="333" s="1"/>
  <c r="D140" i="333"/>
  <c r="D138" i="333"/>
  <c r="C140" i="333"/>
  <c r="C138" i="333" s="1"/>
  <c r="I139" i="333"/>
  <c r="J139" i="333"/>
  <c r="J137" i="333"/>
  <c r="I136" i="333"/>
  <c r="J136" i="333"/>
  <c r="K135" i="333"/>
  <c r="H135" i="333"/>
  <c r="I135" i="333"/>
  <c r="J135" i="333"/>
  <c r="G135" i="333"/>
  <c r="F135" i="333"/>
  <c r="E135" i="333"/>
  <c r="D135" i="333"/>
  <c r="C135" i="333"/>
  <c r="J134" i="333"/>
  <c r="I133" i="333"/>
  <c r="J133" i="333" s="1"/>
  <c r="I132" i="333"/>
  <c r="J132" i="333" s="1"/>
  <c r="I131" i="333"/>
  <c r="J131" i="333" s="1"/>
  <c r="K130" i="333"/>
  <c r="H130" i="333"/>
  <c r="G130" i="333"/>
  <c r="I130" i="333" s="1"/>
  <c r="J130" i="333" s="1"/>
  <c r="F130" i="333"/>
  <c r="E130" i="333"/>
  <c r="D130" i="333"/>
  <c r="C130" i="333"/>
  <c r="C117" i="333" s="1"/>
  <c r="I128" i="333"/>
  <c r="J128" i="333" s="1"/>
  <c r="I127" i="333"/>
  <c r="J127" i="333" s="1"/>
  <c r="I126" i="333"/>
  <c r="J126" i="333" s="1"/>
  <c r="I125" i="333"/>
  <c r="J125" i="333" s="1"/>
  <c r="I122" i="333"/>
  <c r="J122" i="333" s="1"/>
  <c r="I121" i="333"/>
  <c r="J121" i="333" s="1"/>
  <c r="I120" i="333"/>
  <c r="J120" i="333" s="1"/>
  <c r="I119" i="333"/>
  <c r="J119" i="333" s="1"/>
  <c r="K118" i="333"/>
  <c r="K117" i="333" s="1"/>
  <c r="G118" i="333"/>
  <c r="F118" i="333"/>
  <c r="E118" i="333"/>
  <c r="D118" i="333"/>
  <c r="D117" i="333"/>
  <c r="C118" i="333"/>
  <c r="I116" i="333"/>
  <c r="J116" i="333"/>
  <c r="I115" i="333"/>
  <c r="J115" i="333"/>
  <c r="K114" i="333"/>
  <c r="H114" i="333"/>
  <c r="G114" i="333"/>
  <c r="F114" i="333"/>
  <c r="E114" i="333"/>
  <c r="D114" i="333"/>
  <c r="C114" i="333"/>
  <c r="I113" i="333"/>
  <c r="J113" i="333"/>
  <c r="I112" i="333"/>
  <c r="J112" i="333"/>
  <c r="K111" i="333"/>
  <c r="K110" i="333"/>
  <c r="H111" i="333"/>
  <c r="G111" i="333"/>
  <c r="F111" i="333"/>
  <c r="E111" i="333"/>
  <c r="E110" i="333"/>
  <c r="D111" i="333"/>
  <c r="C111" i="333"/>
  <c r="I109" i="333"/>
  <c r="J109" i="333"/>
  <c r="I108" i="333"/>
  <c r="J108" i="333"/>
  <c r="I107" i="333"/>
  <c r="J107" i="333"/>
  <c r="I106" i="333"/>
  <c r="J106" i="333"/>
  <c r="I105" i="333"/>
  <c r="J105" i="333"/>
  <c r="I104" i="333"/>
  <c r="J104" i="333"/>
  <c r="K103" i="333"/>
  <c r="H103" i="333"/>
  <c r="G103" i="333"/>
  <c r="I103" i="333"/>
  <c r="J103" i="333"/>
  <c r="F103" i="333"/>
  <c r="E103" i="333"/>
  <c r="D103" i="333"/>
  <c r="C103" i="333"/>
  <c r="I101" i="333"/>
  <c r="J101" i="333" s="1"/>
  <c r="K99" i="333"/>
  <c r="G99" i="333"/>
  <c r="F99" i="333"/>
  <c r="E99" i="333"/>
  <c r="D99" i="333"/>
  <c r="C99" i="333"/>
  <c r="I98" i="333"/>
  <c r="J98" i="333" s="1"/>
  <c r="I96" i="333"/>
  <c r="J96" i="333" s="1"/>
  <c r="I92" i="333"/>
  <c r="J92" i="333" s="1"/>
  <c r="I90" i="333"/>
  <c r="J90" i="333" s="1"/>
  <c r="I88" i="333"/>
  <c r="J88" i="333" s="1"/>
  <c r="I86" i="333"/>
  <c r="J86" i="333" s="1"/>
  <c r="I84" i="333"/>
  <c r="J84" i="333" s="1"/>
  <c r="I82" i="333"/>
  <c r="J82" i="333" s="1"/>
  <c r="I80" i="333"/>
  <c r="J80" i="333" s="1"/>
  <c r="I78" i="333"/>
  <c r="J78" i="333" s="1"/>
  <c r="K76" i="333"/>
  <c r="G76" i="333"/>
  <c r="F76" i="333"/>
  <c r="E76" i="333"/>
  <c r="D76" i="333"/>
  <c r="C76" i="333"/>
  <c r="J74" i="333"/>
  <c r="I73" i="333"/>
  <c r="J73" i="333"/>
  <c r="I72" i="333"/>
  <c r="J72" i="333"/>
  <c r="I71" i="333"/>
  <c r="J71" i="333"/>
  <c r="I70" i="333"/>
  <c r="J70" i="333"/>
  <c r="K69" i="333"/>
  <c r="H69" i="333"/>
  <c r="G69" i="333"/>
  <c r="F69" i="333"/>
  <c r="E69" i="333"/>
  <c r="D69" i="333"/>
  <c r="C69" i="333"/>
  <c r="I68" i="333"/>
  <c r="J68" i="333"/>
  <c r="I67" i="333"/>
  <c r="J67" i="333"/>
  <c r="I66" i="333"/>
  <c r="J66" i="333"/>
  <c r="I65" i="333"/>
  <c r="J65" i="333"/>
  <c r="I64" i="333"/>
  <c r="J64" i="333"/>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C53" i="333"/>
  <c r="I52" i="333"/>
  <c r="J52" i="333" s="1"/>
  <c r="I51" i="333"/>
  <c r="J51" i="333" s="1"/>
  <c r="I50" i="333"/>
  <c r="J50" i="333" s="1"/>
  <c r="I49" i="333"/>
  <c r="J49" i="333" s="1"/>
  <c r="I48" i="333"/>
  <c r="J48" i="333" s="1"/>
  <c r="I47" i="333"/>
  <c r="J47" i="333" s="1"/>
  <c r="I46" i="333"/>
  <c r="J46" i="333" s="1"/>
  <c r="K45" i="333"/>
  <c r="H45" i="333"/>
  <c r="G45" i="333"/>
  <c r="I45" i="333" s="1"/>
  <c r="J45" i="333" s="1"/>
  <c r="F45" i="333"/>
  <c r="E45" i="333"/>
  <c r="D45" i="333"/>
  <c r="C45" i="333"/>
  <c r="I44" i="333"/>
  <c r="J44" i="333" s="1"/>
  <c r="I43" i="333"/>
  <c r="J43" i="333" s="1"/>
  <c r="I42" i="333"/>
  <c r="J42" i="333" s="1"/>
  <c r="I41" i="333"/>
  <c r="J41" i="333" s="1"/>
  <c r="I40" i="333"/>
  <c r="J40" i="333" s="1"/>
  <c r="I39" i="333"/>
  <c r="J39" i="333" s="1"/>
  <c r="K38" i="333"/>
  <c r="H38" i="333"/>
  <c r="G38" i="333"/>
  <c r="I38" i="333" s="1"/>
  <c r="J38" i="333" s="1"/>
  <c r="F38" i="333"/>
  <c r="E38" i="333"/>
  <c r="D38" i="333"/>
  <c r="C38" i="333"/>
  <c r="I37" i="333"/>
  <c r="J37" i="333" s="1"/>
  <c r="I36" i="333"/>
  <c r="J36" i="333" s="1"/>
  <c r="I35" i="333"/>
  <c r="J35" i="333" s="1"/>
  <c r="I34" i="333"/>
  <c r="J34" i="333" s="1"/>
  <c r="I33" i="333"/>
  <c r="J33" i="333" s="1"/>
  <c r="I32" i="333"/>
  <c r="J32" i="333" s="1"/>
  <c r="I31" i="333"/>
  <c r="J31" i="333" s="1"/>
  <c r="I30" i="333"/>
  <c r="J30" i="333" s="1"/>
  <c r="K27" i="333"/>
  <c r="G27" i="333"/>
  <c r="F27" i="333"/>
  <c r="E27" i="333"/>
  <c r="D27" i="333"/>
  <c r="C27" i="333"/>
  <c r="I26" i="333"/>
  <c r="J26" i="333" s="1"/>
  <c r="I25" i="333"/>
  <c r="J25" i="333" s="1"/>
  <c r="I24" i="333"/>
  <c r="J24" i="333" s="1"/>
  <c r="I22" i="333"/>
  <c r="J22" i="333" s="1"/>
  <c r="I21" i="333"/>
  <c r="J21" i="333" s="1"/>
  <c r="I18" i="333"/>
  <c r="J18" i="333" s="1"/>
  <c r="K17" i="333"/>
  <c r="G17" i="333"/>
  <c r="F17" i="333"/>
  <c r="E17" i="333"/>
  <c r="D17" i="333"/>
  <c r="C17" i="333"/>
  <c r="I16" i="333"/>
  <c r="J16" i="333"/>
  <c r="I15" i="333"/>
  <c r="J15" i="333"/>
  <c r="I14" i="333"/>
  <c r="J14" i="333"/>
  <c r="K13" i="333"/>
  <c r="H13" i="333"/>
  <c r="G13" i="333"/>
  <c r="I13" i="333"/>
  <c r="J13" i="333"/>
  <c r="F13" i="333"/>
  <c r="E13" i="333"/>
  <c r="D13" i="333"/>
  <c r="C13" i="333"/>
  <c r="I10" i="333"/>
  <c r="J10" i="333" s="1"/>
  <c r="I9" i="333"/>
  <c r="J9" i="333" s="1"/>
  <c r="C8" i="333"/>
  <c r="J165" i="325"/>
  <c r="I164" i="325"/>
  <c r="J164" i="325"/>
  <c r="K163" i="325"/>
  <c r="H163" i="325"/>
  <c r="G163" i="325"/>
  <c r="F163" i="325"/>
  <c r="E163" i="325"/>
  <c r="D163" i="325"/>
  <c r="C163" i="325"/>
  <c r="I161" i="325"/>
  <c r="J161" i="325"/>
  <c r="K160" i="325"/>
  <c r="H160" i="325"/>
  <c r="G160" i="325"/>
  <c r="F160" i="325"/>
  <c r="E160" i="325"/>
  <c r="D160" i="325"/>
  <c r="C160" i="325"/>
  <c r="I158" i="325"/>
  <c r="J158" i="325"/>
  <c r="K157" i="325"/>
  <c r="H157" i="325"/>
  <c r="G157" i="325"/>
  <c r="F157" i="325"/>
  <c r="E157" i="325"/>
  <c r="D157" i="325"/>
  <c r="C157" i="325"/>
  <c r="I155" i="325"/>
  <c r="J155" i="325" s="1"/>
  <c r="K154" i="325"/>
  <c r="H154" i="325"/>
  <c r="G154" i="325"/>
  <c r="I154" i="325" s="1"/>
  <c r="J154" i="325" s="1"/>
  <c r="F154" i="325"/>
  <c r="E154" i="325"/>
  <c r="D154" i="325"/>
  <c r="C154" i="325"/>
  <c r="J153" i="325"/>
  <c r="I152" i="325"/>
  <c r="J152" i="325"/>
  <c r="K151" i="325"/>
  <c r="H151" i="325"/>
  <c r="I151" i="325"/>
  <c r="G151" i="325"/>
  <c r="F151" i="325"/>
  <c r="E151" i="325"/>
  <c r="D151" i="325"/>
  <c r="C151" i="325"/>
  <c r="I149" i="325"/>
  <c r="J149" i="325"/>
  <c r="K148" i="325"/>
  <c r="H148" i="325"/>
  <c r="G148" i="325"/>
  <c r="F148" i="325"/>
  <c r="E148" i="325"/>
  <c r="D148" i="325"/>
  <c r="C148" i="325"/>
  <c r="I146" i="325"/>
  <c r="J146" i="325"/>
  <c r="I145" i="325"/>
  <c r="J145" i="325"/>
  <c r="I144" i="325"/>
  <c r="J144" i="325"/>
  <c r="I143" i="325"/>
  <c r="J143" i="325"/>
  <c r="I142" i="325"/>
  <c r="J142" i="325"/>
  <c r="I141" i="325"/>
  <c r="J141" i="325"/>
  <c r="K140" i="325"/>
  <c r="K138" i="325"/>
  <c r="H140" i="325"/>
  <c r="G140" i="325"/>
  <c r="G138" i="325"/>
  <c r="F140" i="325"/>
  <c r="F138" i="325"/>
  <c r="E140" i="325"/>
  <c r="E138" i="325"/>
  <c r="D140" i="325"/>
  <c r="D138" i="325"/>
  <c r="C140" i="325"/>
  <c r="C138" i="325"/>
  <c r="I139" i="325"/>
  <c r="J139" i="325"/>
  <c r="H138" i="325"/>
  <c r="J137" i="325"/>
  <c r="I136" i="325"/>
  <c r="J136" i="325"/>
  <c r="K135" i="325"/>
  <c r="H135" i="325"/>
  <c r="G135" i="325"/>
  <c r="F135" i="325"/>
  <c r="E135" i="325"/>
  <c r="D135" i="325"/>
  <c r="C135" i="325"/>
  <c r="J134" i="325"/>
  <c r="I133" i="325"/>
  <c r="J133" i="325"/>
  <c r="I132" i="325"/>
  <c r="J132" i="325"/>
  <c r="I131" i="325"/>
  <c r="J131" i="325"/>
  <c r="K130" i="325"/>
  <c r="H130" i="325"/>
  <c r="I130" i="325"/>
  <c r="J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K117" i="325"/>
  <c r="H118" i="325"/>
  <c r="G118" i="325"/>
  <c r="I118" i="325" s="1"/>
  <c r="J118" i="325" s="1"/>
  <c r="F118" i="325"/>
  <c r="F117" i="325" s="1"/>
  <c r="E118" i="325"/>
  <c r="E117" i="325"/>
  <c r="D118" i="325"/>
  <c r="C118" i="325"/>
  <c r="I116" i="325"/>
  <c r="J116" i="325"/>
  <c r="I115" i="325"/>
  <c r="J115" i="325"/>
  <c r="K114" i="325"/>
  <c r="H114" i="325"/>
  <c r="G114" i="325"/>
  <c r="F114" i="325"/>
  <c r="E114" i="325"/>
  <c r="D114" i="325"/>
  <c r="C114" i="325"/>
  <c r="I113" i="325"/>
  <c r="J113" i="325"/>
  <c r="I112" i="325"/>
  <c r="J112" i="325"/>
  <c r="K111" i="325"/>
  <c r="H111" i="325"/>
  <c r="G111" i="325"/>
  <c r="F111" i="325"/>
  <c r="E111" i="325"/>
  <c r="D111" i="325"/>
  <c r="D110" i="325"/>
  <c r="C111" i="325"/>
  <c r="I109" i="325"/>
  <c r="J109" i="325"/>
  <c r="I108" i="325"/>
  <c r="J108" i="325"/>
  <c r="I107" i="325"/>
  <c r="J107" i="325"/>
  <c r="I106" i="325"/>
  <c r="J106" i="325"/>
  <c r="I104" i="325"/>
  <c r="J104" i="325"/>
  <c r="K103" i="325"/>
  <c r="G103" i="325"/>
  <c r="F103" i="325"/>
  <c r="E103" i="325"/>
  <c r="D103" i="325"/>
  <c r="C103" i="325"/>
  <c r="I102" i="325"/>
  <c r="J102" i="325"/>
  <c r="I101" i="325"/>
  <c r="J101" i="325"/>
  <c r="I100" i="325"/>
  <c r="J100" i="325"/>
  <c r="K99" i="325"/>
  <c r="H99" i="325"/>
  <c r="G99" i="325"/>
  <c r="F99" i="325"/>
  <c r="E99" i="325"/>
  <c r="D99" i="325"/>
  <c r="C99" i="325"/>
  <c r="I98" i="325"/>
  <c r="J98" i="325"/>
  <c r="I96" i="325"/>
  <c r="J96" i="325"/>
  <c r="I95" i="325"/>
  <c r="J95" i="325"/>
  <c r="I94" i="325"/>
  <c r="J94" i="325"/>
  <c r="I92" i="325"/>
  <c r="J92" i="325"/>
  <c r="I91" i="325"/>
  <c r="J91" i="325"/>
  <c r="I90" i="325"/>
  <c r="J90" i="325" s="1"/>
  <c r="I88" i="325"/>
  <c r="J88" i="325" s="1"/>
  <c r="I87" i="325"/>
  <c r="J87" i="325"/>
  <c r="I86" i="325"/>
  <c r="J86" i="325" s="1"/>
  <c r="I84" i="325"/>
  <c r="J84" i="325"/>
  <c r="I83" i="325"/>
  <c r="J83" i="325"/>
  <c r="I82" i="325"/>
  <c r="J82" i="325"/>
  <c r="I80" i="325"/>
  <c r="J80" i="325" s="1"/>
  <c r="I79" i="325"/>
  <c r="J79" i="325"/>
  <c r="I78" i="325"/>
  <c r="J78" i="325"/>
  <c r="I77" i="325"/>
  <c r="J77" i="325" s="1"/>
  <c r="K76" i="325"/>
  <c r="K75" i="325" s="1"/>
  <c r="G76" i="325"/>
  <c r="F76" i="325"/>
  <c r="E76" i="325"/>
  <c r="D76" i="325"/>
  <c r="D75" i="325"/>
  <c r="C76" i="325"/>
  <c r="J74" i="325"/>
  <c r="I73" i="325"/>
  <c r="J73" i="325"/>
  <c r="I72" i="325"/>
  <c r="J72" i="325"/>
  <c r="I71" i="325"/>
  <c r="J71" i="325"/>
  <c r="I70" i="325"/>
  <c r="J70" i="325"/>
  <c r="K69" i="325"/>
  <c r="H69" i="325"/>
  <c r="G69" i="325"/>
  <c r="F69" i="325"/>
  <c r="E69" i="325"/>
  <c r="D69" i="325"/>
  <c r="C69" i="325"/>
  <c r="I68" i="325"/>
  <c r="J68" i="325"/>
  <c r="I67" i="325"/>
  <c r="J67" i="325"/>
  <c r="I66" i="325"/>
  <c r="J66" i="325"/>
  <c r="I65" i="325"/>
  <c r="J65" i="325"/>
  <c r="I64" i="325"/>
  <c r="J64" i="325"/>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C53" i="325"/>
  <c r="I52" i="325"/>
  <c r="J52" i="325"/>
  <c r="I51" i="325"/>
  <c r="J51" i="325"/>
  <c r="I50" i="325"/>
  <c r="J50" i="325"/>
  <c r="I49" i="325"/>
  <c r="J49" i="325"/>
  <c r="I48" i="325"/>
  <c r="J48" i="325"/>
  <c r="I47" i="325"/>
  <c r="J47" i="325"/>
  <c r="I46" i="325"/>
  <c r="J46" i="325" s="1"/>
  <c r="K45" i="325"/>
  <c r="H45" i="325"/>
  <c r="I45" i="325" s="1"/>
  <c r="J45" i="325" s="1"/>
  <c r="G45" i="325"/>
  <c r="F45" i="325"/>
  <c r="E45" i="325"/>
  <c r="D45" i="325"/>
  <c r="C45" i="325"/>
  <c r="I44" i="325"/>
  <c r="J44" i="325"/>
  <c r="I43" i="325"/>
  <c r="J43" i="325"/>
  <c r="I42" i="325"/>
  <c r="J42" i="325"/>
  <c r="I41" i="325"/>
  <c r="J41" i="325" s="1"/>
  <c r="I40" i="325"/>
  <c r="J40" i="325"/>
  <c r="I39" i="325"/>
  <c r="J39" i="325"/>
  <c r="K38" i="325"/>
  <c r="H38" i="325"/>
  <c r="I38" i="325" s="1"/>
  <c r="J38" i="325" s="1"/>
  <c r="G38" i="325"/>
  <c r="F38" i="325"/>
  <c r="E38" i="325"/>
  <c r="D38" i="325"/>
  <c r="C38" i="325"/>
  <c r="I37" i="325"/>
  <c r="J37" i="325"/>
  <c r="I36" i="325"/>
  <c r="J36" i="325"/>
  <c r="I35" i="325"/>
  <c r="J35" i="325"/>
  <c r="I34" i="325"/>
  <c r="J34" i="325" s="1"/>
  <c r="I33" i="325"/>
  <c r="J33" i="325"/>
  <c r="I32" i="325"/>
  <c r="J32" i="325"/>
  <c r="I31" i="325"/>
  <c r="J31" i="325" s="1"/>
  <c r="I30" i="325"/>
  <c r="J30" i="325"/>
  <c r="I29" i="325"/>
  <c r="J29" i="325"/>
  <c r="I28" i="325"/>
  <c r="J28" i="325"/>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c r="I15" i="325"/>
  <c r="J15" i="325"/>
  <c r="I14" i="325"/>
  <c r="J14" i="325"/>
  <c r="K13" i="325"/>
  <c r="H13" i="325"/>
  <c r="G13" i="325"/>
  <c r="F13" i="325"/>
  <c r="E13" i="325"/>
  <c r="D13" i="325"/>
  <c r="C13" i="325"/>
  <c r="I12" i="325"/>
  <c r="J12" i="325"/>
  <c r="I11" i="325"/>
  <c r="J11" i="325"/>
  <c r="I10" i="325"/>
  <c r="J10" i="325"/>
  <c r="I9" i="325"/>
  <c r="J9" i="325" s="1"/>
  <c r="C8" i="325"/>
  <c r="J165" i="326"/>
  <c r="I164" i="326"/>
  <c r="J164" i="326"/>
  <c r="K163" i="326"/>
  <c r="H163" i="326"/>
  <c r="I163" i="326"/>
  <c r="G163" i="326"/>
  <c r="F163" i="326"/>
  <c r="E163" i="326"/>
  <c r="D163" i="326"/>
  <c r="C163" i="326"/>
  <c r="I161" i="326"/>
  <c r="J161" i="326"/>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c r="K148" i="326"/>
  <c r="H148" i="326"/>
  <c r="G148" i="326"/>
  <c r="F148" i="326"/>
  <c r="E148" i="326"/>
  <c r="D148" i="326"/>
  <c r="C148" i="326"/>
  <c r="I146" i="326"/>
  <c r="J146" i="326"/>
  <c r="I145" i="326"/>
  <c r="J145" i="326" s="1"/>
  <c r="I144" i="326"/>
  <c r="J144" i="326" s="1"/>
  <c r="I143" i="326"/>
  <c r="J143" i="326"/>
  <c r="I142" i="326"/>
  <c r="J142" i="326" s="1"/>
  <c r="I141" i="326"/>
  <c r="J141" i="326"/>
  <c r="K140" i="326"/>
  <c r="K138" i="326" s="1"/>
  <c r="H140" i="326"/>
  <c r="H138" i="326" s="1"/>
  <c r="G140" i="326"/>
  <c r="G138" i="326" s="1"/>
  <c r="F140" i="326"/>
  <c r="F138" i="326"/>
  <c r="E140" i="326"/>
  <c r="E138" i="326" s="1"/>
  <c r="D140" i="326"/>
  <c r="D138" i="326"/>
  <c r="C140" i="326"/>
  <c r="C138" i="326"/>
  <c r="I139" i="326"/>
  <c r="J139" i="326"/>
  <c r="J137" i="326"/>
  <c r="I136" i="326"/>
  <c r="J136" i="326"/>
  <c r="K135" i="326"/>
  <c r="H135" i="326"/>
  <c r="G135" i="326"/>
  <c r="F135" i="326"/>
  <c r="E135" i="326"/>
  <c r="D135" i="326"/>
  <c r="C135" i="326"/>
  <c r="J134" i="326"/>
  <c r="I133" i="326"/>
  <c r="J133" i="326"/>
  <c r="I132" i="326"/>
  <c r="J132" i="326" s="1"/>
  <c r="I131" i="326"/>
  <c r="J131" i="326"/>
  <c r="K130" i="326"/>
  <c r="H130" i="326"/>
  <c r="I130" i="326" s="1"/>
  <c r="J130" i="326" s="1"/>
  <c r="G130" i="326"/>
  <c r="F130" i="326"/>
  <c r="E130" i="326"/>
  <c r="D130" i="326"/>
  <c r="C130" i="326"/>
  <c r="I129" i="326"/>
  <c r="J129" i="326"/>
  <c r="I128" i="326"/>
  <c r="J128" i="326"/>
  <c r="I127" i="326"/>
  <c r="J127" i="326"/>
  <c r="I126" i="326"/>
  <c r="J126" i="326"/>
  <c r="I125" i="326"/>
  <c r="J125" i="326"/>
  <c r="I124" i="326"/>
  <c r="J124" i="326"/>
  <c r="I123" i="326"/>
  <c r="J123" i="326"/>
  <c r="I122" i="326"/>
  <c r="J122" i="326"/>
  <c r="I121" i="326"/>
  <c r="J121" i="326"/>
  <c r="I120" i="326"/>
  <c r="J120" i="326"/>
  <c r="I119" i="326"/>
  <c r="J119" i="326"/>
  <c r="K118" i="326"/>
  <c r="H118" i="326"/>
  <c r="G118" i="326"/>
  <c r="I118" i="326"/>
  <c r="F118" i="326"/>
  <c r="F117" i="326"/>
  <c r="E118" i="326"/>
  <c r="D118" i="326"/>
  <c r="C118" i="326"/>
  <c r="I116" i="326"/>
  <c r="J116" i="326"/>
  <c r="I115" i="326"/>
  <c r="J115" i="326"/>
  <c r="K114" i="326"/>
  <c r="H114" i="326"/>
  <c r="G114" i="326"/>
  <c r="F114" i="326"/>
  <c r="E114" i="326"/>
  <c r="D114" i="326"/>
  <c r="D110" i="326"/>
  <c r="C114" i="326"/>
  <c r="I113" i="326"/>
  <c r="J113" i="326"/>
  <c r="I112" i="326"/>
  <c r="J112" i="326"/>
  <c r="K111" i="326"/>
  <c r="K110" i="326"/>
  <c r="H111" i="326"/>
  <c r="G111" i="326"/>
  <c r="F111" i="326"/>
  <c r="E111" i="326"/>
  <c r="D111" i="326"/>
  <c r="C111" i="326"/>
  <c r="C110" i="326"/>
  <c r="I109" i="326"/>
  <c r="J109" i="326"/>
  <c r="I108" i="326"/>
  <c r="J108" i="326" s="1"/>
  <c r="I107" i="326"/>
  <c r="J107" i="326"/>
  <c r="I106" i="326"/>
  <c r="J106" i="326"/>
  <c r="I105" i="326"/>
  <c r="J105" i="326"/>
  <c r="I104" i="326"/>
  <c r="J104" i="326"/>
  <c r="K103" i="326"/>
  <c r="H103" i="326"/>
  <c r="G103" i="326"/>
  <c r="F103" i="326"/>
  <c r="E103" i="326"/>
  <c r="D103" i="326"/>
  <c r="C103" i="326"/>
  <c r="I102" i="326"/>
  <c r="J102" i="326"/>
  <c r="I101" i="326"/>
  <c r="J101" i="326"/>
  <c r="I100" i="326"/>
  <c r="J100" i="326"/>
  <c r="K99" i="326"/>
  <c r="H99" i="326"/>
  <c r="G99" i="326"/>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K75" i="326" s="1"/>
  <c r="H76" i="326"/>
  <c r="H75" i="326" s="1"/>
  <c r="G76" i="326"/>
  <c r="G75" i="326" s="1"/>
  <c r="F76" i="326"/>
  <c r="F75" i="326" s="1"/>
  <c r="E76" i="326"/>
  <c r="D76" i="326"/>
  <c r="D75" i="326"/>
  <c r="C76" i="326"/>
  <c r="C75" i="326" s="1"/>
  <c r="J74" i="326"/>
  <c r="I73" i="326"/>
  <c r="J73" i="326"/>
  <c r="I72" i="326"/>
  <c r="J72" i="326"/>
  <c r="I71" i="326"/>
  <c r="J71" i="326"/>
  <c r="I70" i="326"/>
  <c r="J70" i="326"/>
  <c r="K69" i="326"/>
  <c r="H69" i="326"/>
  <c r="G69" i="326"/>
  <c r="F69" i="326"/>
  <c r="E69" i="326"/>
  <c r="D69" i="326"/>
  <c r="C69" i="326"/>
  <c r="I68" i="326"/>
  <c r="J68" i="326"/>
  <c r="I67" i="326"/>
  <c r="J67" i="326"/>
  <c r="I66" i="326"/>
  <c r="J66" i="326"/>
  <c r="I65" i="326"/>
  <c r="J65" i="326"/>
  <c r="I64" i="326"/>
  <c r="J64" i="326"/>
  <c r="K63" i="326"/>
  <c r="H63" i="326"/>
  <c r="G63" i="326"/>
  <c r="I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c r="I50" i="326"/>
  <c r="J50" i="326"/>
  <c r="I49" i="326"/>
  <c r="J49" i="326"/>
  <c r="I48" i="326"/>
  <c r="J48" i="326"/>
  <c r="I47" i="326"/>
  <c r="J47" i="326"/>
  <c r="I46" i="326"/>
  <c r="J46" i="326" s="1"/>
  <c r="K45" i="326"/>
  <c r="H45" i="326"/>
  <c r="G45" i="326"/>
  <c r="F45" i="326"/>
  <c r="E45" i="326"/>
  <c r="D45" i="326"/>
  <c r="D7"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I32" i="326"/>
  <c r="J32" i="326" s="1"/>
  <c r="I31" i="326"/>
  <c r="J31" i="326" s="1"/>
  <c r="I30" i="326"/>
  <c r="J30" i="326" s="1"/>
  <c r="I29" i="326"/>
  <c r="J29" i="326" s="1"/>
  <c r="I28" i="326"/>
  <c r="J28" i="326" s="1"/>
  <c r="K27" i="326"/>
  <c r="H27" i="326"/>
  <c r="G27" i="326"/>
  <c r="F27" i="326"/>
  <c r="E27" i="326"/>
  <c r="D27" i="326"/>
  <c r="C27" i="326"/>
  <c r="I26" i="326"/>
  <c r="J26" i="326"/>
  <c r="I25" i="326"/>
  <c r="J25" i="326"/>
  <c r="I24" i="326"/>
  <c r="J24" i="326"/>
  <c r="I23" i="326"/>
  <c r="J23" i="326"/>
  <c r="I22" i="326"/>
  <c r="J22" i="326"/>
  <c r="I21" i="326"/>
  <c r="J21" i="326"/>
  <c r="I20" i="326"/>
  <c r="J20" i="326"/>
  <c r="I19" i="326"/>
  <c r="J19" i="326"/>
  <c r="I18" i="326"/>
  <c r="J18" i="326" s="1"/>
  <c r="K17" i="326"/>
  <c r="H17" i="326"/>
  <c r="G17" i="326"/>
  <c r="F17" i="326"/>
  <c r="E17" i="326"/>
  <c r="D17" i="326"/>
  <c r="C17" i="326"/>
  <c r="I16" i="326"/>
  <c r="J16" i="326"/>
  <c r="I15" i="326"/>
  <c r="J15" i="326"/>
  <c r="I14" i="326"/>
  <c r="J14" i="326"/>
  <c r="K13" i="326"/>
  <c r="H13" i="326"/>
  <c r="G13" i="326"/>
  <c r="F13" i="326"/>
  <c r="E13" i="326"/>
  <c r="D13" i="326"/>
  <c r="C13" i="326"/>
  <c r="I12" i="326"/>
  <c r="J12" i="326" s="1"/>
  <c r="I11" i="326"/>
  <c r="J11" i="326" s="1"/>
  <c r="I10" i="326"/>
  <c r="J10" i="326" s="1"/>
  <c r="C8" i="326"/>
  <c r="I161" i="242"/>
  <c r="J161" i="242" s="1"/>
  <c r="H160" i="242"/>
  <c r="I160" i="242" s="1"/>
  <c r="J160" i="242" s="1"/>
  <c r="G160" i="242"/>
  <c r="F160" i="242"/>
  <c r="E160" i="242"/>
  <c r="D160" i="242"/>
  <c r="C160" i="242"/>
  <c r="K140" i="242"/>
  <c r="K138" i="242" s="1"/>
  <c r="G140" i="242"/>
  <c r="F140" i="242"/>
  <c r="F138" i="242"/>
  <c r="E140" i="242"/>
  <c r="E138" i="242" s="1"/>
  <c r="D140" i="242"/>
  <c r="D138" i="242"/>
  <c r="C140" i="242"/>
  <c r="C138" i="242"/>
  <c r="I142" i="242"/>
  <c r="J142" i="242"/>
  <c r="I141" i="242"/>
  <c r="J141" i="242"/>
  <c r="I143" i="242"/>
  <c r="J143" i="242"/>
  <c r="J165" i="242"/>
  <c r="I164" i="242"/>
  <c r="J164" i="242"/>
  <c r="K163" i="242"/>
  <c r="H163" i="242"/>
  <c r="I163" i="242" s="1"/>
  <c r="J163" i="242" s="1"/>
  <c r="G163" i="242"/>
  <c r="F163" i="242"/>
  <c r="E163" i="242"/>
  <c r="D163" i="242"/>
  <c r="C163" i="242"/>
  <c r="I158" i="242"/>
  <c r="J158" i="242" s="1"/>
  <c r="K157" i="242"/>
  <c r="H157" i="242"/>
  <c r="G157" i="242"/>
  <c r="F157" i="242"/>
  <c r="E157" i="242"/>
  <c r="D157" i="242"/>
  <c r="C157" i="242"/>
  <c r="I155" i="242"/>
  <c r="J155" i="242" s="1"/>
  <c r="K154" i="242"/>
  <c r="H154" i="242"/>
  <c r="G154" i="242"/>
  <c r="F154" i="242"/>
  <c r="E154" i="242"/>
  <c r="D154" i="242"/>
  <c r="C154" i="242"/>
  <c r="J153" i="242"/>
  <c r="G151" i="242"/>
  <c r="F151" i="242"/>
  <c r="E151" i="242"/>
  <c r="D151" i="242"/>
  <c r="C151" i="242"/>
  <c r="K130" i="242"/>
  <c r="H130" i="242"/>
  <c r="G130" i="242"/>
  <c r="F130" i="242"/>
  <c r="E130" i="242"/>
  <c r="D130" i="242"/>
  <c r="K118" i="242"/>
  <c r="K117" i="242" s="1"/>
  <c r="H118" i="242"/>
  <c r="H117" i="242" s="1"/>
  <c r="G118" i="242"/>
  <c r="F118" i="242"/>
  <c r="E118" i="242"/>
  <c r="E117" i="242" s="1"/>
  <c r="D118" i="242"/>
  <c r="D117" i="242"/>
  <c r="C118" i="242"/>
  <c r="I122" i="242"/>
  <c r="J122" i="242" s="1"/>
  <c r="I121" i="242"/>
  <c r="J121" i="242" s="1"/>
  <c r="I120" i="242"/>
  <c r="J120" i="242" s="1"/>
  <c r="C130" i="242"/>
  <c r="K111" i="242"/>
  <c r="H111" i="242"/>
  <c r="G111" i="242"/>
  <c r="F111" i="242"/>
  <c r="E111" i="242"/>
  <c r="D111" i="242"/>
  <c r="D110" i="242" s="1"/>
  <c r="C111" i="242"/>
  <c r="K114" i="242"/>
  <c r="H114" i="242"/>
  <c r="G114" i="242"/>
  <c r="F114" i="242"/>
  <c r="E114" i="242"/>
  <c r="D114" i="242"/>
  <c r="C114" i="242"/>
  <c r="C110" i="242"/>
  <c r="I112" i="242"/>
  <c r="J112" i="242"/>
  <c r="I113" i="242"/>
  <c r="J113" i="242"/>
  <c r="I116" i="242"/>
  <c r="J116" i="242"/>
  <c r="I115" i="242"/>
  <c r="J115" i="242"/>
  <c r="H103" i="242"/>
  <c r="G103" i="242"/>
  <c r="F103" i="242"/>
  <c r="E103" i="242"/>
  <c r="D103" i="242"/>
  <c r="C103" i="242"/>
  <c r="I106" i="242"/>
  <c r="J106" i="242"/>
  <c r="I105" i="242"/>
  <c r="J105" i="242" s="1"/>
  <c r="I104" i="242"/>
  <c r="J104" i="242" s="1"/>
  <c r="K99" i="242"/>
  <c r="H99" i="242"/>
  <c r="G99" i="242"/>
  <c r="F99" i="242"/>
  <c r="E99" i="242"/>
  <c r="D99" i="242"/>
  <c r="G76" i="242"/>
  <c r="F76" i="242"/>
  <c r="E76" i="242"/>
  <c r="D76" i="242"/>
  <c r="C99" i="242"/>
  <c r="C75" i="242" s="1"/>
  <c r="C76" i="242"/>
  <c r="I87" i="242"/>
  <c r="J87" i="242" s="1"/>
  <c r="I86" i="242"/>
  <c r="J86" i="242" s="1"/>
  <c r="I83" i="242"/>
  <c r="J83" i="242" s="1"/>
  <c r="I82" i="242"/>
  <c r="J82" i="242" s="1"/>
  <c r="I80" i="242"/>
  <c r="J80" i="242" s="1"/>
  <c r="I79" i="242"/>
  <c r="J79" i="242" s="1"/>
  <c r="I77" i="242"/>
  <c r="J77" i="242" s="1"/>
  <c r="K63" i="242"/>
  <c r="H63" i="242"/>
  <c r="G63" i="242"/>
  <c r="F63" i="242"/>
  <c r="E63" i="242"/>
  <c r="D63" i="242"/>
  <c r="C63" i="242"/>
  <c r="I68" i="242"/>
  <c r="J68" i="242"/>
  <c r="I67" i="242"/>
  <c r="J67" i="242"/>
  <c r="I66" i="242"/>
  <c r="J66" i="242"/>
  <c r="I65" i="242"/>
  <c r="J65" i="242"/>
  <c r="I64" i="242"/>
  <c r="J64" i="242"/>
  <c r="D17" i="242"/>
  <c r="E17" i="242"/>
  <c r="F17" i="242"/>
  <c r="G17" i="242"/>
  <c r="H17" i="242"/>
  <c r="I17" i="242" s="1"/>
  <c r="J17" i="242" s="1"/>
  <c r="K17" i="242"/>
  <c r="I18" i="242"/>
  <c r="J18" i="242" s="1"/>
  <c r="I19" i="242"/>
  <c r="J19" i="242" s="1"/>
  <c r="I20" i="242"/>
  <c r="J20" i="242"/>
  <c r="I21" i="242"/>
  <c r="J21" i="242" s="1"/>
  <c r="I22" i="242"/>
  <c r="J22" i="242" s="1"/>
  <c r="I23" i="242"/>
  <c r="J23" i="242"/>
  <c r="I24" i="242"/>
  <c r="J24" i="242" s="1"/>
  <c r="C53" i="242"/>
  <c r="I62" i="242"/>
  <c r="J62" i="242"/>
  <c r="I61" i="242"/>
  <c r="J61" i="242"/>
  <c r="I60" i="242"/>
  <c r="J60" i="242"/>
  <c r="I59" i="242"/>
  <c r="J59" i="242"/>
  <c r="I58" i="242"/>
  <c r="J58" i="242"/>
  <c r="I57" i="242"/>
  <c r="J57" i="242"/>
  <c r="I56" i="242"/>
  <c r="J56" i="242"/>
  <c r="I55" i="242"/>
  <c r="J55" i="242"/>
  <c r="I54" i="242"/>
  <c r="J54" i="242"/>
  <c r="I48" i="242"/>
  <c r="J48" i="242"/>
  <c r="I52" i="242"/>
  <c r="J52" i="242"/>
  <c r="I51" i="242"/>
  <c r="J51" i="242"/>
  <c r="I50" i="242"/>
  <c r="J50" i="242"/>
  <c r="I49" i="242"/>
  <c r="J49" i="242"/>
  <c r="I47" i="242"/>
  <c r="J47" i="242"/>
  <c r="I46" i="242"/>
  <c r="J46" i="242"/>
  <c r="K45" i="242"/>
  <c r="H45" i="242"/>
  <c r="G45" i="242"/>
  <c r="I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s="1"/>
  <c r="I25" i="242"/>
  <c r="J25" i="242"/>
  <c r="C8" i="242"/>
  <c r="I10" i="242"/>
  <c r="J10" i="242" s="1"/>
  <c r="I9" i="242"/>
  <c r="J9" i="242" s="1"/>
  <c r="I243" i="330"/>
  <c r="J243" i="330" s="1"/>
  <c r="A243" i="330"/>
  <c r="A239" i="330"/>
  <c r="K235" i="330"/>
  <c r="K47" i="241" s="1"/>
  <c r="G235" i="330"/>
  <c r="G47" i="241" s="1"/>
  <c r="F235" i="330"/>
  <c r="F47" i="241" s="1"/>
  <c r="E235" i="330"/>
  <c r="E47" i="241" s="1"/>
  <c r="D235" i="330"/>
  <c r="D47" i="241" s="1"/>
  <c r="C235" i="330"/>
  <c r="C47" i="241" s="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7" i="330"/>
  <c r="J217" i="330" s="1"/>
  <c r="A213" i="330"/>
  <c r="A212" i="330"/>
  <c r="A211" i="330"/>
  <c r="A210" i="330"/>
  <c r="I211" i="330"/>
  <c r="J211" i="330" s="1"/>
  <c r="A208" i="330"/>
  <c r="A207" i="330"/>
  <c r="A206" i="330"/>
  <c r="A205" i="330"/>
  <c r="A204" i="330"/>
  <c r="A203" i="330"/>
  <c r="A202" i="330"/>
  <c r="A201" i="330"/>
  <c r="A200" i="330"/>
  <c r="A199" i="330"/>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s="1"/>
  <c r="H186" i="330"/>
  <c r="H37" i="241" s="1"/>
  <c r="G186" i="330"/>
  <c r="G37" i="241" s="1"/>
  <c r="F186" i="330"/>
  <c r="F37" i="241" s="1"/>
  <c r="E186" i="330"/>
  <c r="E37" i="241" s="1"/>
  <c r="D186" i="330"/>
  <c r="D37" i="241" s="1"/>
  <c r="C186" i="330"/>
  <c r="C37" i="241" s="1"/>
  <c r="I188" i="330"/>
  <c r="J188" i="330" s="1"/>
  <c r="I187" i="330"/>
  <c r="J187" i="330" s="1"/>
  <c r="A176" i="330"/>
  <c r="A175" i="330"/>
  <c r="A174" i="330"/>
  <c r="K171" i="330"/>
  <c r="K35" i="241" s="1"/>
  <c r="G171" i="330"/>
  <c r="G35" i="241" s="1"/>
  <c r="F171" i="330"/>
  <c r="F35" i="241" s="1"/>
  <c r="E171" i="330"/>
  <c r="E35" i="241" s="1"/>
  <c r="D171" i="330"/>
  <c r="D35" i="241" s="1"/>
  <c r="C171" i="330"/>
  <c r="C35" i="241" s="1"/>
  <c r="I176" i="330"/>
  <c r="J176" i="330" s="1"/>
  <c r="I173" i="330"/>
  <c r="J173"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5" i="330"/>
  <c r="J155" i="330" s="1"/>
  <c r="I154" i="330"/>
  <c r="J154" i="330" s="1"/>
  <c r="I151" i="330"/>
  <c r="J151" i="330" s="1"/>
  <c r="I163" i="330"/>
  <c r="J163" i="330" s="1"/>
  <c r="I162" i="330"/>
  <c r="J162" i="330" s="1"/>
  <c r="I161" i="330"/>
  <c r="J161" i="330" s="1"/>
  <c r="A147" i="330"/>
  <c r="A145" i="330"/>
  <c r="A144" i="330"/>
  <c r="A143" i="330"/>
  <c r="A142" i="330"/>
  <c r="A141" i="330"/>
  <c r="A140" i="330"/>
  <c r="A139" i="330"/>
  <c r="A138" i="330"/>
  <c r="A137" i="330"/>
  <c r="A136" i="330"/>
  <c r="A135" i="330"/>
  <c r="A134" i="330"/>
  <c r="A133" i="330"/>
  <c r="K132" i="330"/>
  <c r="G132" i="330"/>
  <c r="G31" i="241" s="1"/>
  <c r="F132" i="330"/>
  <c r="F31" i="241" s="1"/>
  <c r="E132" i="330"/>
  <c r="D132" i="330"/>
  <c r="D31" i="241"/>
  <c r="D29" i="241" s="1"/>
  <c r="K27" i="330"/>
  <c r="K11" i="241" s="1"/>
  <c r="H27" i="330"/>
  <c r="H11" i="241" s="1"/>
  <c r="G27" i="330"/>
  <c r="G11" i="241" s="1"/>
  <c r="F27" i="330"/>
  <c r="F11" i="241" s="1"/>
  <c r="E27" i="330"/>
  <c r="E11" i="241" s="1"/>
  <c r="D27" i="330"/>
  <c r="D11" i="241" s="1"/>
  <c r="C27" i="330"/>
  <c r="C11" i="241" s="1"/>
  <c r="K10" i="330"/>
  <c r="G8" i="241"/>
  <c r="E10" i="330"/>
  <c r="D10" i="330"/>
  <c r="D6" i="330" s="1"/>
  <c r="D8" i="241"/>
  <c r="C10" i="330"/>
  <c r="C132" i="330"/>
  <c r="C31" i="241"/>
  <c r="I145" i="330"/>
  <c r="J145" i="330" s="1"/>
  <c r="I143" i="330"/>
  <c r="J143" i="330" s="1"/>
  <c r="I142" i="330"/>
  <c r="J142" i="330" s="1"/>
  <c r="I141" i="330"/>
  <c r="J141" i="330" s="1"/>
  <c r="I139" i="330"/>
  <c r="J139" i="330" s="1"/>
  <c r="I138" i="330"/>
  <c r="J138" i="330" s="1"/>
  <c r="I137" i="330"/>
  <c r="J137" i="330" s="1"/>
  <c r="I135" i="330"/>
  <c r="J135" i="330" s="1"/>
  <c r="I133" i="330"/>
  <c r="J133" i="330" s="1"/>
  <c r="A146" i="330"/>
  <c r="C146" i="330"/>
  <c r="C32" i="241"/>
  <c r="D146" i="330"/>
  <c r="E146" i="330"/>
  <c r="E32" i="241" s="1"/>
  <c r="F146" i="330"/>
  <c r="F32" i="241" s="1"/>
  <c r="G146" i="330"/>
  <c r="G32" i="241" s="1"/>
  <c r="H146" i="330"/>
  <c r="H32" i="241" s="1"/>
  <c r="K146" i="330"/>
  <c r="K32" i="241" s="1"/>
  <c r="I147" i="330"/>
  <c r="J147" i="330" s="1"/>
  <c r="A148" i="330"/>
  <c r="A149" i="330"/>
  <c r="C149" i="330"/>
  <c r="C34" i="241" s="1"/>
  <c r="D149" i="330"/>
  <c r="D34" i="241" s="1"/>
  <c r="D33" i="241" s="1"/>
  <c r="E149" i="330"/>
  <c r="E34" i="241" s="1"/>
  <c r="F149" i="330"/>
  <c r="F34" i="241" s="1"/>
  <c r="G149" i="330"/>
  <c r="G34" i="241" s="1"/>
  <c r="K149" i="330"/>
  <c r="K34" i="241" s="1"/>
  <c r="I150" i="330"/>
  <c r="J150" i="330" s="1"/>
  <c r="I166" i="330"/>
  <c r="J166" i="330" s="1"/>
  <c r="I168" i="330"/>
  <c r="J168" i="330" s="1"/>
  <c r="I169" i="330"/>
  <c r="J169" i="330" s="1"/>
  <c r="I170" i="330"/>
  <c r="J170" i="330" s="1"/>
  <c r="K113" i="330"/>
  <c r="K24" i="241"/>
  <c r="H113" i="330"/>
  <c r="H24" i="241" s="1"/>
  <c r="G113" i="330"/>
  <c r="G24" i="241" s="1"/>
  <c r="F113" i="330"/>
  <c r="F24" i="241" s="1"/>
  <c r="E113" i="330"/>
  <c r="E24" i="241" s="1"/>
  <c r="D113" i="330"/>
  <c r="D24" i="241"/>
  <c r="C113" i="330"/>
  <c r="C24" i="241" s="1"/>
  <c r="I115" i="330"/>
  <c r="J115" i="330" s="1"/>
  <c r="I114" i="330"/>
  <c r="J114" i="330" s="1"/>
  <c r="I117" i="330"/>
  <c r="J117" i="330" s="1"/>
  <c r="I111" i="330"/>
  <c r="J111" i="330" s="1"/>
  <c r="I106" i="330"/>
  <c r="J106" i="330" s="1"/>
  <c r="I102" i="330"/>
  <c r="J102" i="330" s="1"/>
  <c r="I95" i="330"/>
  <c r="J95" i="330" s="1"/>
  <c r="I94" i="330"/>
  <c r="J94" i="330" s="1"/>
  <c r="I96" i="330"/>
  <c r="J96" i="330" s="1"/>
  <c r="K76" i="330"/>
  <c r="H76" i="330"/>
  <c r="H17" i="241" s="1"/>
  <c r="G76" i="330"/>
  <c r="G17" i="241" s="1"/>
  <c r="F76" i="330"/>
  <c r="F17" i="241" s="1"/>
  <c r="E76" i="330"/>
  <c r="E17" i="241" s="1"/>
  <c r="D17" i="241"/>
  <c r="C76" i="330"/>
  <c r="C17" i="241" s="1"/>
  <c r="I77" i="330"/>
  <c r="J77" i="330" s="1"/>
  <c r="I81" i="330"/>
  <c r="J81" i="330" s="1"/>
  <c r="I80" i="330"/>
  <c r="J80" i="330" s="1"/>
  <c r="I79" i="330"/>
  <c r="J79" i="330" s="1"/>
  <c r="I78" i="330"/>
  <c r="J78" i="330" s="1"/>
  <c r="I83" i="330"/>
  <c r="J83" i="330" s="1"/>
  <c r="I82" i="330"/>
  <c r="J82" i="330" s="1"/>
  <c r="K67" i="330"/>
  <c r="K15" i="241" s="1"/>
  <c r="H67" i="330"/>
  <c r="H15" i="241" s="1"/>
  <c r="I15" i="241" s="1"/>
  <c r="J15" i="241" s="1"/>
  <c r="G67" i="330"/>
  <c r="F67" i="330"/>
  <c r="F15" i="241"/>
  <c r="E67" i="330"/>
  <c r="E15" i="241" s="1"/>
  <c r="D67" i="330"/>
  <c r="C67" i="330"/>
  <c r="C15" i="241"/>
  <c r="H64" i="330"/>
  <c r="H14" i="241" s="1"/>
  <c r="G64" i="330"/>
  <c r="G14" i="241" s="1"/>
  <c r="F64" i="330"/>
  <c r="F14" i="241" s="1"/>
  <c r="E64" i="330"/>
  <c r="E14" i="241" s="1"/>
  <c r="D64" i="330"/>
  <c r="D14" i="241"/>
  <c r="K64" i="330"/>
  <c r="K14" i="241" s="1"/>
  <c r="C64" i="330"/>
  <c r="C14" i="241" s="1"/>
  <c r="I69" i="330"/>
  <c r="J69" i="330"/>
  <c r="I68" i="330"/>
  <c r="J68" i="330" s="1"/>
  <c r="I71" i="330"/>
  <c r="J71" i="330"/>
  <c r="I70" i="330"/>
  <c r="J70" i="330"/>
  <c r="I66" i="330"/>
  <c r="J66" i="330" s="1"/>
  <c r="I65" i="330"/>
  <c r="J65" i="330" s="1"/>
  <c r="K49" i="330"/>
  <c r="K12" i="241" s="1"/>
  <c r="G49" i="330"/>
  <c r="G12" i="241" s="1"/>
  <c r="F49" i="330"/>
  <c r="F12" i="241" s="1"/>
  <c r="E49" i="330"/>
  <c r="E12" i="241" s="1"/>
  <c r="D49" i="330"/>
  <c r="D12" i="241" s="1"/>
  <c r="C49" i="330"/>
  <c r="C12" i="241" s="1"/>
  <c r="I54" i="330"/>
  <c r="J54" i="330" s="1"/>
  <c r="I52" i="330"/>
  <c r="J52" i="330" s="1"/>
  <c r="I51" i="330"/>
  <c r="J51" i="330" s="1"/>
  <c r="I50" i="330"/>
  <c r="J50" i="330" s="1"/>
  <c r="C55" i="330"/>
  <c r="C13" i="241"/>
  <c r="D55" i="330"/>
  <c r="D13" i="241"/>
  <c r="E55" i="330"/>
  <c r="E13" i="241" s="1"/>
  <c r="F55" i="330"/>
  <c r="F13" i="241" s="1"/>
  <c r="G55" i="330"/>
  <c r="G13" i="241" s="1"/>
  <c r="K55" i="330"/>
  <c r="I56" i="330"/>
  <c r="J56" i="330" s="1"/>
  <c r="I59" i="330"/>
  <c r="J59" i="330" s="1"/>
  <c r="I39" i="330"/>
  <c r="J39" i="330" s="1"/>
  <c r="I38" i="330"/>
  <c r="J38" i="330" s="1"/>
  <c r="I36" i="330"/>
  <c r="J36" i="330" s="1"/>
  <c r="I35" i="330"/>
  <c r="J35" i="330" s="1"/>
  <c r="I33" i="330"/>
  <c r="J33" i="330" s="1"/>
  <c r="I32" i="330"/>
  <c r="J32" i="330" s="1"/>
  <c r="I30" i="330"/>
  <c r="J30" i="330" s="1"/>
  <c r="I29" i="330"/>
  <c r="J29" i="330" s="1"/>
  <c r="I17" i="330"/>
  <c r="J17" i="330" s="1"/>
  <c r="I15" i="330"/>
  <c r="J15" i="330" s="1"/>
  <c r="I13" i="330"/>
  <c r="J13" i="330" s="1"/>
  <c r="I11" i="330"/>
  <c r="J11" i="330" s="1"/>
  <c r="I19" i="330"/>
  <c r="J19" i="330" s="1"/>
  <c r="I23" i="330"/>
  <c r="J23"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F9" i="334"/>
  <c r="G30" i="334"/>
  <c r="G29" i="334"/>
  <c r="F46" i="334"/>
  <c r="F45" i="334"/>
  <c r="F44" i="334"/>
  <c r="G44" i="334"/>
  <c r="F43" i="334"/>
  <c r="G43" i="334"/>
  <c r="F42" i="334"/>
  <c r="G42" i="334"/>
  <c r="F40" i="334"/>
  <c r="G40" i="334"/>
  <c r="F39" i="334"/>
  <c r="F37" i="334"/>
  <c r="G37" i="334"/>
  <c r="F36" i="334"/>
  <c r="G36" i="334"/>
  <c r="F35" i="334"/>
  <c r="G35" i="334"/>
  <c r="F34" i="334"/>
  <c r="G34" i="334"/>
  <c r="F33" i="334"/>
  <c r="G33" i="334"/>
  <c r="F32" i="334"/>
  <c r="F27" i="334"/>
  <c r="G27" i="334"/>
  <c r="F26" i="334"/>
  <c r="G26" i="334"/>
  <c r="F24" i="334"/>
  <c r="G24" i="334"/>
  <c r="F23" i="334"/>
  <c r="G23" i="334"/>
  <c r="F21" i="334"/>
  <c r="G21" i="334"/>
  <c r="F20" i="334"/>
  <c r="G20" i="334"/>
  <c r="F19" i="334"/>
  <c r="G19" i="334"/>
  <c r="F18" i="334"/>
  <c r="F17" i="334"/>
  <c r="G17" i="334"/>
  <c r="F15" i="334"/>
  <c r="G15" i="334"/>
  <c r="F14" i="334"/>
  <c r="G14" i="334"/>
  <c r="F13" i="334"/>
  <c r="G13" i="334"/>
  <c r="F12" i="334"/>
  <c r="G12" i="334"/>
  <c r="F11" i="334"/>
  <c r="G11" i="334"/>
  <c r="F10" i="334"/>
  <c r="G10" i="334"/>
  <c r="B107" i="100"/>
  <c r="B90" i="100"/>
  <c r="K6" i="175"/>
  <c r="N21" i="175"/>
  <c r="N14" i="175"/>
  <c r="K5" i="175"/>
  <c r="K19" i="175"/>
  <c r="C80" i="172" s="1"/>
  <c r="B80" i="172" s="1"/>
  <c r="K13" i="175"/>
  <c r="K12" i="175"/>
  <c r="K11" i="175"/>
  <c r="K10" i="175"/>
  <c r="K9" i="175"/>
  <c r="K8" i="175"/>
  <c r="K7" i="175"/>
  <c r="A50" i="334"/>
  <c r="A46" i="334"/>
  <c r="E44" i="334"/>
  <c r="D44" i="334"/>
  <c r="C44" i="334"/>
  <c r="A43" i="334"/>
  <c r="E41" i="334"/>
  <c r="D41" i="334"/>
  <c r="C41" i="334"/>
  <c r="A40" i="334"/>
  <c r="E38" i="334"/>
  <c r="E47" i="334"/>
  <c r="D38" i="334"/>
  <c r="C38" i="334"/>
  <c r="A37" i="334"/>
  <c r="A32" i="334"/>
  <c r="E31" i="334"/>
  <c r="D31" i="334"/>
  <c r="D47" i="334"/>
  <c r="C31" i="334"/>
  <c r="A27" i="334"/>
  <c r="E25" i="334"/>
  <c r="D25" i="334"/>
  <c r="C25" i="334"/>
  <c r="A25" i="334"/>
  <c r="A24" i="334"/>
  <c r="E22" i="334"/>
  <c r="D22" i="334"/>
  <c r="C22" i="334"/>
  <c r="A22" i="334"/>
  <c r="A21" i="334"/>
  <c r="A20" i="334"/>
  <c r="A19" i="334"/>
  <c r="A18" i="334"/>
  <c r="A17" i="334"/>
  <c r="E16" i="334"/>
  <c r="D16" i="334"/>
  <c r="C16" i="334"/>
  <c r="A16" i="334"/>
  <c r="A15" i="334"/>
  <c r="A12" i="334"/>
  <c r="A11" i="334"/>
  <c r="A10" i="334"/>
  <c r="A9" i="334"/>
  <c r="E8" i="334"/>
  <c r="D8" i="334"/>
  <c r="C8" i="334"/>
  <c r="A8" i="334"/>
  <c r="G3" i="334"/>
  <c r="F3" i="334"/>
  <c r="E3" i="334"/>
  <c r="D3" i="334"/>
  <c r="B2" i="334"/>
  <c r="A2" i="334"/>
  <c r="E29" i="269"/>
  <c r="B91" i="100"/>
  <c r="J10" i="267"/>
  <c r="F10" i="267"/>
  <c r="E10" i="267"/>
  <c r="D10" i="267"/>
  <c r="C10" i="267"/>
  <c r="G8" i="267"/>
  <c r="F8" i="267"/>
  <c r="E8" i="267"/>
  <c r="D8" i="267"/>
  <c r="C8" i="267"/>
  <c r="C11" i="267"/>
  <c r="B10" i="267"/>
  <c r="B8" i="267"/>
  <c r="B9" i="267"/>
  <c r="C307" i="322"/>
  <c r="I90" i="318"/>
  <c r="J90" i="318" s="1"/>
  <c r="I78" i="318"/>
  <c r="J78" i="318" s="1"/>
  <c r="I77" i="318"/>
  <c r="J77" i="318" s="1"/>
  <c r="I76" i="318"/>
  <c r="J76" i="318" s="1"/>
  <c r="I75" i="318"/>
  <c r="J75" i="318" s="1"/>
  <c r="I63" i="318"/>
  <c r="J63" i="318" s="1"/>
  <c r="I61" i="318"/>
  <c r="J61" i="318" s="1"/>
  <c r="I60" i="318"/>
  <c r="J60" i="318" s="1"/>
  <c r="I59" i="318"/>
  <c r="J59" i="318"/>
  <c r="I58" i="318"/>
  <c r="J58" i="318" s="1"/>
  <c r="I57" i="318"/>
  <c r="J57" i="318" s="1"/>
  <c r="I41" i="318"/>
  <c r="J41" i="318" s="1"/>
  <c r="I39" i="318"/>
  <c r="J39" i="318" s="1"/>
  <c r="I36" i="318"/>
  <c r="J36" i="318" s="1"/>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0" i="318"/>
  <c r="J10" i="318" s="1"/>
  <c r="F99" i="100"/>
  <c r="E99" i="100"/>
  <c r="K3" i="333"/>
  <c r="J3" i="333"/>
  <c r="I3" i="333"/>
  <c r="H3" i="333"/>
  <c r="G3" i="333"/>
  <c r="F3" i="333"/>
  <c r="E3" i="333"/>
  <c r="D3" i="333"/>
  <c r="C3" i="333"/>
  <c r="B2" i="333"/>
  <c r="A2" i="333"/>
  <c r="A143" i="323"/>
  <c r="A315" i="323"/>
  <c r="A151" i="324"/>
  <c r="A152" i="324"/>
  <c r="A153" i="324"/>
  <c r="A154" i="324"/>
  <c r="A155" i="324"/>
  <c r="A156" i="324"/>
  <c r="A157" i="324"/>
  <c r="A158" i="324"/>
  <c r="A159" i="324"/>
  <c r="A161" i="324"/>
  <c r="A162" i="324"/>
  <c r="A163" i="324"/>
  <c r="A164" i="324"/>
  <c r="A165" i="324"/>
  <c r="A166" i="324"/>
  <c r="A167" i="324"/>
  <c r="A168" i="324"/>
  <c r="A169" i="324"/>
  <c r="A170" i="324"/>
  <c r="A172" i="324"/>
  <c r="A173" i="324"/>
  <c r="A174" i="324"/>
  <c r="A175" i="324"/>
  <c r="A176" i="324"/>
  <c r="A177" i="324"/>
  <c r="A178" i="324"/>
  <c r="A179" i="324"/>
  <c r="A180" i="324"/>
  <c r="A181" i="324"/>
  <c r="A183" i="324"/>
  <c r="A184" i="324"/>
  <c r="A185" i="324"/>
  <c r="A186" i="324"/>
  <c r="A187" i="324"/>
  <c r="A188" i="324"/>
  <c r="A189" i="324"/>
  <c r="A190" i="324"/>
  <c r="A191" i="324"/>
  <c r="A192" i="324"/>
  <c r="A194" i="324"/>
  <c r="A195" i="324"/>
  <c r="A196" i="324"/>
  <c r="A197" i="324"/>
  <c r="A198" i="324"/>
  <c r="A199" i="324"/>
  <c r="A200" i="324"/>
  <c r="A201" i="324"/>
  <c r="A202" i="324"/>
  <c r="A203" i="324"/>
  <c r="A205" i="324"/>
  <c r="A206" i="324"/>
  <c r="A207" i="324"/>
  <c r="A208" i="324"/>
  <c r="A209" i="324"/>
  <c r="A210" i="324"/>
  <c r="A211" i="324"/>
  <c r="A212" i="324"/>
  <c r="A213" i="324"/>
  <c r="A214" i="324"/>
  <c r="A216" i="324"/>
  <c r="A217" i="324"/>
  <c r="A218" i="324"/>
  <c r="A219" i="324"/>
  <c r="A220" i="324"/>
  <c r="A221" i="324"/>
  <c r="A222" i="324"/>
  <c r="A223" i="324"/>
  <c r="A224" i="324"/>
  <c r="A225" i="324"/>
  <c r="A227" i="324"/>
  <c r="A228" i="324"/>
  <c r="A229" i="324"/>
  <c r="A230" i="324"/>
  <c r="A231" i="324"/>
  <c r="A232" i="324"/>
  <c r="A233" i="324"/>
  <c r="A234" i="324"/>
  <c r="A235" i="324"/>
  <c r="A236" i="324"/>
  <c r="A238" i="324"/>
  <c r="A239" i="324"/>
  <c r="A240" i="324"/>
  <c r="A241" i="324"/>
  <c r="A242" i="324"/>
  <c r="A243" i="324"/>
  <c r="A244" i="324"/>
  <c r="A245" i="324"/>
  <c r="A246" i="324"/>
  <c r="A247" i="324"/>
  <c r="A249" i="324"/>
  <c r="A250" i="324"/>
  <c r="A251" i="324"/>
  <c r="A252" i="324"/>
  <c r="A253" i="324"/>
  <c r="A254" i="324"/>
  <c r="A255" i="324"/>
  <c r="A256" i="324"/>
  <c r="A257" i="324"/>
  <c r="A258" i="324"/>
  <c r="A260" i="324"/>
  <c r="A261" i="324"/>
  <c r="A262" i="324"/>
  <c r="A263" i="324"/>
  <c r="A264" i="324"/>
  <c r="A265" i="324"/>
  <c r="A266" i="324"/>
  <c r="A267" i="324"/>
  <c r="A268" i="324"/>
  <c r="A269" i="324"/>
  <c r="A271" i="324"/>
  <c r="A272" i="324"/>
  <c r="A273" i="324"/>
  <c r="A274" i="324"/>
  <c r="A275" i="324"/>
  <c r="A276" i="324"/>
  <c r="A277" i="324"/>
  <c r="A278" i="324"/>
  <c r="A279" i="324"/>
  <c r="A280" i="324"/>
  <c r="A282" i="324"/>
  <c r="A283" i="324"/>
  <c r="A284" i="324"/>
  <c r="A285" i="324"/>
  <c r="A286" i="324"/>
  <c r="A287" i="324"/>
  <c r="A288" i="324"/>
  <c r="A289" i="324"/>
  <c r="A290" i="324"/>
  <c r="A291" i="324"/>
  <c r="A293" i="324"/>
  <c r="A294" i="324"/>
  <c r="A295" i="324"/>
  <c r="A296" i="324"/>
  <c r="A297" i="324"/>
  <c r="A298" i="324"/>
  <c r="A299" i="324"/>
  <c r="A300" i="324"/>
  <c r="A301" i="324"/>
  <c r="A302" i="324"/>
  <c r="A304" i="324"/>
  <c r="A305" i="324"/>
  <c r="A306" i="324"/>
  <c r="A307" i="324"/>
  <c r="A308" i="324"/>
  <c r="A309" i="324"/>
  <c r="A310" i="324"/>
  <c r="A311" i="324"/>
  <c r="A312" i="324"/>
  <c r="A313" i="324"/>
  <c r="A150" i="324"/>
  <c r="A9" i="324"/>
  <c r="A10" i="324"/>
  <c r="A11" i="324"/>
  <c r="A13" i="324"/>
  <c r="A14" i="324"/>
  <c r="A15" i="324"/>
  <c r="A16" i="324"/>
  <c r="A17" i="324"/>
  <c r="A19" i="324"/>
  <c r="A20" i="324"/>
  <c r="A21" i="324"/>
  <c r="A22" i="324"/>
  <c r="A24" i="324"/>
  <c r="A25" i="324"/>
  <c r="A26" i="324"/>
  <c r="A27" i="324"/>
  <c r="A28" i="324"/>
  <c r="A30" i="324"/>
  <c r="A31" i="324"/>
  <c r="A32" i="324"/>
  <c r="A33" i="324"/>
  <c r="A34" i="324"/>
  <c r="A36" i="324"/>
  <c r="A37" i="324"/>
  <c r="A38" i="324"/>
  <c r="A39" i="324"/>
  <c r="A40"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F24" i="272" s="1"/>
  <c r="G174" i="323"/>
  <c r="H174" i="323"/>
  <c r="H24" i="272" s="1"/>
  <c r="K174" i="323"/>
  <c r="K24" i="272" s="1"/>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c r="A3" i="332"/>
  <c r="A17" i="323"/>
  <c r="D3" i="332"/>
  <c r="A4" i="332"/>
  <c r="D4" i="332"/>
  <c r="A5" i="332"/>
  <c r="D5" i="332"/>
  <c r="A6" i="332"/>
  <c r="A29" i="324"/>
  <c r="D6" i="332"/>
  <c r="A7" i="332"/>
  <c r="A229" i="323"/>
  <c r="D7" i="332"/>
  <c r="A8" i="332"/>
  <c r="D8" i="332"/>
  <c r="A9" i="332"/>
  <c r="D9" i="332"/>
  <c r="A10" i="332"/>
  <c r="A32" i="268"/>
  <c r="D10" i="332"/>
  <c r="A11" i="332"/>
  <c r="A105" i="323"/>
  <c r="D11" i="332"/>
  <c r="A12" i="332"/>
  <c r="A16" i="268"/>
  <c r="D12" i="332"/>
  <c r="A13" i="332"/>
  <c r="A14" i="332"/>
  <c r="D14" i="332"/>
  <c r="A15" i="332"/>
  <c r="A37" i="268"/>
  <c r="D15" i="332"/>
  <c r="A16" i="33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K74" i="268" s="1"/>
  <c r="K57" i="268"/>
  <c r="G57" i="268"/>
  <c r="F57" i="268"/>
  <c r="E57" i="268"/>
  <c r="D57" i="268"/>
  <c r="C57" i="268"/>
  <c r="C118" i="330"/>
  <c r="C25" i="241" s="1"/>
  <c r="E31" i="241"/>
  <c r="C8" i="241"/>
  <c r="J13" i="267"/>
  <c r="J14" i="267"/>
  <c r="J15" i="267"/>
  <c r="J17" i="267"/>
  <c r="G12" i="267"/>
  <c r="G13" i="267"/>
  <c r="G14" i="267"/>
  <c r="G15" i="267"/>
  <c r="F12" i="267"/>
  <c r="F13" i="267"/>
  <c r="F14" i="267"/>
  <c r="F15" i="267"/>
  <c r="F16" i="267"/>
  <c r="F17" i="267"/>
  <c r="H17" i="267" s="1"/>
  <c r="I17" i="267" s="1"/>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59" i="270"/>
  <c r="C45" i="270"/>
  <c r="C31" i="270"/>
  <c r="H18" i="177"/>
  <c r="G43" i="267" s="1"/>
  <c r="K185" i="323"/>
  <c r="K25" i="272" s="1"/>
  <c r="K196" i="323"/>
  <c r="K26" i="272" s="1"/>
  <c r="K207" i="323"/>
  <c r="K27" i="272" s="1"/>
  <c r="K218" i="323"/>
  <c r="K28" i="272"/>
  <c r="K229" i="323"/>
  <c r="K29" i="272" s="1"/>
  <c r="K240" i="323"/>
  <c r="K251" i="323"/>
  <c r="K31" i="272"/>
  <c r="K262" i="323"/>
  <c r="K273" i="323"/>
  <c r="K284" i="323"/>
  <c r="K34" i="272"/>
  <c r="K295" i="323"/>
  <c r="K306" i="323"/>
  <c r="K36" i="272"/>
  <c r="K317" i="323"/>
  <c r="K37" i="272"/>
  <c r="K328" i="323"/>
  <c r="K38" i="272"/>
  <c r="H196" i="323"/>
  <c r="H207" i="323"/>
  <c r="H27" i="272" s="1"/>
  <c r="H218" i="323"/>
  <c r="H28" i="272" s="1"/>
  <c r="H229" i="323"/>
  <c r="H29" i="272" s="1"/>
  <c r="H240" i="323"/>
  <c r="H30" i="272"/>
  <c r="H251" i="323"/>
  <c r="H31" i="272"/>
  <c r="I31" i="272"/>
  <c r="J31" i="272"/>
  <c r="H262" i="323"/>
  <c r="I262" i="323"/>
  <c r="J262" i="323"/>
  <c r="H273" i="323"/>
  <c r="H284" i="323"/>
  <c r="I284" i="323"/>
  <c r="J284" i="323"/>
  <c r="H295" i="323"/>
  <c r="H306" i="323"/>
  <c r="H36" i="272"/>
  <c r="I36" i="272"/>
  <c r="J36" i="272"/>
  <c r="H317" i="323"/>
  <c r="H37" i="272"/>
  <c r="H328" i="323"/>
  <c r="H38" i="272"/>
  <c r="G185" i="323"/>
  <c r="G25" i="272" s="1"/>
  <c r="G196" i="323"/>
  <c r="G26" i="272" s="1"/>
  <c r="G207" i="323"/>
  <c r="G27" i="272" s="1"/>
  <c r="G218" i="323"/>
  <c r="G229" i="323"/>
  <c r="G29" i="272" s="1"/>
  <c r="G240" i="323"/>
  <c r="G251" i="323"/>
  <c r="G262" i="323"/>
  <c r="G273" i="323"/>
  <c r="G33" i="272"/>
  <c r="I33" i="272"/>
  <c r="J33" i="272"/>
  <c r="G284" i="323"/>
  <c r="G295" i="323"/>
  <c r="G35" i="272"/>
  <c r="I35" i="272"/>
  <c r="J35" i="272"/>
  <c r="G306" i="323"/>
  <c r="G317" i="323"/>
  <c r="I317" i="323"/>
  <c r="J317" i="323"/>
  <c r="G328" i="323"/>
  <c r="F185" i="323"/>
  <c r="F25" i="272" s="1"/>
  <c r="F196" i="323"/>
  <c r="F26" i="272" s="1"/>
  <c r="F207" i="323"/>
  <c r="F27" i="272" s="1"/>
  <c r="F218" i="323"/>
  <c r="F28" i="272" s="1"/>
  <c r="F229" i="323"/>
  <c r="F29" i="272" s="1"/>
  <c r="F240" i="323"/>
  <c r="F30" i="272"/>
  <c r="F251" i="323"/>
  <c r="F31" i="272"/>
  <c r="F262" i="323"/>
  <c r="F32" i="272"/>
  <c r="F273" i="323"/>
  <c r="F284" i="323"/>
  <c r="F34" i="272"/>
  <c r="F295" i="323"/>
  <c r="F35" i="272"/>
  <c r="F306" i="323"/>
  <c r="F36" i="272"/>
  <c r="F317" i="323"/>
  <c r="F37" i="272"/>
  <c r="F328" i="323"/>
  <c r="E185" i="323"/>
  <c r="E25" i="272" s="1"/>
  <c r="E196" i="323"/>
  <c r="E26" i="272" s="1"/>
  <c r="E207" i="323"/>
  <c r="E27" i="272" s="1"/>
  <c r="E218" i="323"/>
  <c r="E229" i="323"/>
  <c r="E29" i="272"/>
  <c r="E240" i="323"/>
  <c r="E251" i="323"/>
  <c r="E31" i="272"/>
  <c r="E262" i="323"/>
  <c r="E32" i="272"/>
  <c r="E273" i="323"/>
  <c r="E33" i="272"/>
  <c r="E284" i="323"/>
  <c r="E34" i="272"/>
  <c r="E295" i="323"/>
  <c r="E35" i="272"/>
  <c r="E306" i="323"/>
  <c r="E36" i="272"/>
  <c r="E317" i="323"/>
  <c r="E37" i="272"/>
  <c r="E328" i="323"/>
  <c r="E38" i="272"/>
  <c r="D185" i="323"/>
  <c r="D196" i="323"/>
  <c r="D207" i="323"/>
  <c r="D218" i="323"/>
  <c r="D28" i="272"/>
  <c r="D229" i="323"/>
  <c r="D29" i="272"/>
  <c r="D240" i="323"/>
  <c r="D251" i="323"/>
  <c r="D31" i="272"/>
  <c r="D262" i="323"/>
  <c r="D32" i="272"/>
  <c r="D273" i="323"/>
  <c r="D33" i="272"/>
  <c r="D284" i="323"/>
  <c r="D34" i="272"/>
  <c r="D295" i="323"/>
  <c r="D35" i="272"/>
  <c r="D306" i="323"/>
  <c r="D36" i="272"/>
  <c r="D317" i="323"/>
  <c r="D37" i="272"/>
  <c r="D328" i="323"/>
  <c r="D38" i="272"/>
  <c r="C185" i="323"/>
  <c r="C196" i="323"/>
  <c r="C207" i="323"/>
  <c r="C27" i="272" s="1"/>
  <c r="C218" i="323"/>
  <c r="C229" i="323"/>
  <c r="C240" i="323"/>
  <c r="C251" i="323"/>
  <c r="C262" i="323"/>
  <c r="C273" i="323"/>
  <c r="C33" i="272"/>
  <c r="C284" i="323"/>
  <c r="C34" i="272"/>
  <c r="C295" i="323"/>
  <c r="C35" i="272"/>
  <c r="C306" i="323"/>
  <c r="C36" i="272"/>
  <c r="C317" i="323"/>
  <c r="C37" i="272"/>
  <c r="C328" i="323"/>
  <c r="C38" i="272"/>
  <c r="D28" i="177"/>
  <c r="C44" i="267"/>
  <c r="D18" i="177"/>
  <c r="D39" i="177"/>
  <c r="D41" i="177"/>
  <c r="C46" i="267"/>
  <c r="K303" i="324"/>
  <c r="K38" i="268"/>
  <c r="K292" i="324"/>
  <c r="K37" i="268"/>
  <c r="K281" i="324"/>
  <c r="K36" i="268"/>
  <c r="K270" i="324"/>
  <c r="K35" i="268"/>
  <c r="K259" i="324"/>
  <c r="K34" i="268"/>
  <c r="K248" i="324"/>
  <c r="K33" i="268"/>
  <c r="K237" i="324"/>
  <c r="K32" i="268"/>
  <c r="K226" i="324"/>
  <c r="K31" i="268"/>
  <c r="K215" i="324"/>
  <c r="K30" i="268"/>
  <c r="K204" i="324"/>
  <c r="K29" i="268" s="1"/>
  <c r="K193" i="324"/>
  <c r="K28" i="268" s="1"/>
  <c r="K182" i="324"/>
  <c r="K27" i="268" s="1"/>
  <c r="K171" i="324"/>
  <c r="K26" i="268" s="1"/>
  <c r="K160" i="324"/>
  <c r="K25" i="268" s="1"/>
  <c r="K149" i="324"/>
  <c r="K24" i="268" s="1"/>
  <c r="G303" i="324"/>
  <c r="H303" i="324"/>
  <c r="H38" i="268"/>
  <c r="F303" i="324"/>
  <c r="F38" i="268"/>
  <c r="E303" i="324"/>
  <c r="E38" i="268"/>
  <c r="D303" i="324"/>
  <c r="D38" i="268"/>
  <c r="G292" i="324"/>
  <c r="G37" i="268"/>
  <c r="H292" i="324"/>
  <c r="F292" i="324"/>
  <c r="F37" i="268"/>
  <c r="E292" i="324"/>
  <c r="E37" i="268"/>
  <c r="D292" i="324"/>
  <c r="D37" i="268"/>
  <c r="G281" i="324"/>
  <c r="G36" i="268"/>
  <c r="H281" i="324"/>
  <c r="H36" i="268"/>
  <c r="F281" i="324"/>
  <c r="F36" i="268"/>
  <c r="E281" i="324"/>
  <c r="E36" i="268"/>
  <c r="D281" i="324"/>
  <c r="D36" i="268"/>
  <c r="G270" i="324"/>
  <c r="G35" i="268"/>
  <c r="H270" i="324"/>
  <c r="F270" i="324"/>
  <c r="F35" i="268"/>
  <c r="E270" i="324"/>
  <c r="E35" i="268"/>
  <c r="D270" i="324"/>
  <c r="D35" i="268"/>
  <c r="G259" i="324"/>
  <c r="G34" i="268"/>
  <c r="H259" i="324"/>
  <c r="F259" i="324"/>
  <c r="F34" i="268"/>
  <c r="E259" i="324"/>
  <c r="E34" i="268"/>
  <c r="D259" i="324"/>
  <c r="D34" i="268"/>
  <c r="G248" i="324"/>
  <c r="H248" i="324"/>
  <c r="H33" i="268"/>
  <c r="F248" i="324"/>
  <c r="F33" i="268"/>
  <c r="E248" i="324"/>
  <c r="E33" i="268"/>
  <c r="D248" i="324"/>
  <c r="D33" i="268"/>
  <c r="G237" i="324"/>
  <c r="G32" i="268"/>
  <c r="H237" i="324"/>
  <c r="F237" i="324"/>
  <c r="F32" i="268"/>
  <c r="E237" i="324"/>
  <c r="E32" i="268"/>
  <c r="D237" i="324"/>
  <c r="D32" i="268"/>
  <c r="G226" i="324"/>
  <c r="G31" i="268"/>
  <c r="H226" i="324"/>
  <c r="H31" i="268"/>
  <c r="F226" i="324"/>
  <c r="F31" i="268"/>
  <c r="E226" i="324"/>
  <c r="E31" i="268"/>
  <c r="D226" i="324"/>
  <c r="D31" i="268"/>
  <c r="G215" i="324"/>
  <c r="H215" i="324"/>
  <c r="H30" i="268"/>
  <c r="F215" i="324"/>
  <c r="F30" i="268"/>
  <c r="E215" i="324"/>
  <c r="E30" i="268"/>
  <c r="D215" i="324"/>
  <c r="D30" i="268"/>
  <c r="G204" i="324"/>
  <c r="G29" i="268" s="1"/>
  <c r="H204" i="324"/>
  <c r="H29" i="268" s="1"/>
  <c r="F204" i="324"/>
  <c r="F29" i="268" s="1"/>
  <c r="E204" i="324"/>
  <c r="E29" i="268" s="1"/>
  <c r="D204" i="324"/>
  <c r="D29" i="268"/>
  <c r="G193" i="324"/>
  <c r="G28" i="268" s="1"/>
  <c r="H193" i="324"/>
  <c r="H28" i="268" s="1"/>
  <c r="F193" i="324"/>
  <c r="F28" i="268" s="1"/>
  <c r="E193" i="324"/>
  <c r="E28" i="268" s="1"/>
  <c r="D193" i="324"/>
  <c r="D28" i="268"/>
  <c r="G182" i="324"/>
  <c r="G27" i="268" s="1"/>
  <c r="H182" i="324"/>
  <c r="H27" i="268" s="1"/>
  <c r="F182" i="324"/>
  <c r="F27" i="268" s="1"/>
  <c r="E182" i="324"/>
  <c r="E27" i="268" s="1"/>
  <c r="D182" i="324"/>
  <c r="D27" i="268"/>
  <c r="G171" i="324"/>
  <c r="G26" i="268" s="1"/>
  <c r="H171" i="324"/>
  <c r="H26" i="268" s="1"/>
  <c r="F171" i="324"/>
  <c r="F26" i="268" s="1"/>
  <c r="E171" i="324"/>
  <c r="E26" i="268" s="1"/>
  <c r="D171" i="324"/>
  <c r="D26" i="268"/>
  <c r="G160" i="324"/>
  <c r="G25" i="268" s="1"/>
  <c r="H160" i="324"/>
  <c r="H25" i="268" s="1"/>
  <c r="F160" i="324"/>
  <c r="F25" i="268" s="1"/>
  <c r="E160" i="324"/>
  <c r="E25" i="268" s="1"/>
  <c r="D160" i="324"/>
  <c r="D25" i="268"/>
  <c r="G149" i="324"/>
  <c r="H149" i="324"/>
  <c r="H24" i="268" s="1"/>
  <c r="F149" i="324"/>
  <c r="F24" i="268" s="1"/>
  <c r="E149" i="324"/>
  <c r="E24" i="268"/>
  <c r="D149" i="324"/>
  <c r="D24" i="268"/>
  <c r="C292" i="324"/>
  <c r="C37" i="268"/>
  <c r="C281" i="324"/>
  <c r="C36" i="268"/>
  <c r="C270" i="324"/>
  <c r="C35" i="268"/>
  <c r="C259" i="324"/>
  <c r="C34" i="268"/>
  <c r="C248" i="324"/>
  <c r="C33" i="268"/>
  <c r="C149" i="324"/>
  <c r="C24" i="268"/>
  <c r="C303" i="324"/>
  <c r="C38" i="268"/>
  <c r="C237" i="324"/>
  <c r="C32" i="268"/>
  <c r="C226" i="324"/>
  <c r="C31" i="268"/>
  <c r="C215" i="324"/>
  <c r="C30" i="268"/>
  <c r="C204" i="324"/>
  <c r="C29" i="268"/>
  <c r="C193" i="324"/>
  <c r="C28" i="268"/>
  <c r="C182" i="324"/>
  <c r="C27" i="268"/>
  <c r="C171" i="324"/>
  <c r="C26" i="268"/>
  <c r="C160" i="324"/>
  <c r="C25" i="268"/>
  <c r="K20" i="268"/>
  <c r="K19" i="268"/>
  <c r="K16" i="268"/>
  <c r="K15" i="268"/>
  <c r="K12" i="268"/>
  <c r="K35" i="324"/>
  <c r="K11" i="268" s="1"/>
  <c r="K29" i="324"/>
  <c r="K10" i="268"/>
  <c r="K23" i="324"/>
  <c r="K9" i="268" s="1"/>
  <c r="K18" i="324"/>
  <c r="K8" i="268" s="1"/>
  <c r="K12" i="324"/>
  <c r="K7" i="268" s="1"/>
  <c r="K7" i="324"/>
  <c r="K6" i="268" s="1"/>
  <c r="H20" i="268"/>
  <c r="F20" i="268"/>
  <c r="G19" i="268"/>
  <c r="F19" i="268"/>
  <c r="G18" i="268"/>
  <c r="F18" i="268"/>
  <c r="G17" i="268"/>
  <c r="D17" i="268"/>
  <c r="F16" i="268"/>
  <c r="G15" i="268"/>
  <c r="F15" i="268"/>
  <c r="G14" i="268"/>
  <c r="G13" i="268"/>
  <c r="F13" i="268"/>
  <c r="G12" i="268"/>
  <c r="F12" i="268"/>
  <c r="G35" i="324"/>
  <c r="G11" i="268" s="1"/>
  <c r="F35" i="324"/>
  <c r="F11" i="268" s="1"/>
  <c r="E35" i="324"/>
  <c r="E11" i="268" s="1"/>
  <c r="D35" i="324"/>
  <c r="D11" i="268"/>
  <c r="G29" i="324"/>
  <c r="G10" i="268" s="1"/>
  <c r="F29" i="324"/>
  <c r="F10" i="268" s="1"/>
  <c r="E29" i="324"/>
  <c r="E10" i="268" s="1"/>
  <c r="D29" i="324"/>
  <c r="D10" i="268"/>
  <c r="G23" i="324"/>
  <c r="G9" i="268" s="1"/>
  <c r="F23" i="324"/>
  <c r="F9" i="268" s="1"/>
  <c r="E23" i="324"/>
  <c r="E9" i="268"/>
  <c r="D23" i="324"/>
  <c r="D9" i="268"/>
  <c r="G18" i="324"/>
  <c r="G8" i="268" s="1"/>
  <c r="F18" i="324"/>
  <c r="F8" i="268" s="1"/>
  <c r="E18" i="324"/>
  <c r="E8" i="268"/>
  <c r="D18" i="324"/>
  <c r="D8" i="268"/>
  <c r="G12" i="324"/>
  <c r="G7" i="268" s="1"/>
  <c r="F12" i="324"/>
  <c r="F7" i="268" s="1"/>
  <c r="E12" i="324"/>
  <c r="E7" i="268"/>
  <c r="D12" i="324"/>
  <c r="D7" i="268"/>
  <c r="G7" i="324"/>
  <c r="G6" i="268" s="1"/>
  <c r="F7" i="324"/>
  <c r="F6" i="268" s="1"/>
  <c r="E7" i="324"/>
  <c r="E6" i="268" s="1"/>
  <c r="D7" i="324"/>
  <c r="D6" i="268"/>
  <c r="C19" i="268"/>
  <c r="C18" i="268"/>
  <c r="C17" i="268"/>
  <c r="C15" i="268"/>
  <c r="C14" i="268"/>
  <c r="C13" i="268"/>
  <c r="C35" i="324"/>
  <c r="C11" i="268" s="1"/>
  <c r="C29" i="324"/>
  <c r="C10" i="268" s="1"/>
  <c r="C9" i="268"/>
  <c r="C18" i="324"/>
  <c r="C8" i="268" s="1"/>
  <c r="C12" i="324"/>
  <c r="C7" i="268" s="1"/>
  <c r="C7" i="324"/>
  <c r="C6" i="268" s="1"/>
  <c r="D70" i="268"/>
  <c r="D74" i="268"/>
  <c r="E70" i="268"/>
  <c r="D29" i="267" s="1"/>
  <c r="F70" i="268"/>
  <c r="F74" i="268" s="1"/>
  <c r="G70" i="268"/>
  <c r="H70" i="268"/>
  <c r="H74" i="268" s="1"/>
  <c r="C70" i="268"/>
  <c r="C74" i="268" s="1"/>
  <c r="A75" i="100"/>
  <c r="B82" i="100" s="1"/>
  <c r="C18" i="177"/>
  <c r="D13" i="242"/>
  <c r="D27" i="242"/>
  <c r="D69" i="242"/>
  <c r="D135" i="242"/>
  <c r="D148" i="242"/>
  <c r="E13" i="242"/>
  <c r="E27" i="242"/>
  <c r="E69" i="242"/>
  <c r="E135" i="242"/>
  <c r="E148" i="242"/>
  <c r="F13" i="242"/>
  <c r="F27" i="242"/>
  <c r="F69" i="242"/>
  <c r="F135" i="242"/>
  <c r="F148" i="242"/>
  <c r="G13" i="242"/>
  <c r="G27" i="242"/>
  <c r="I27" i="242" s="1"/>
  <c r="J27" i="242" s="1"/>
  <c r="G69" i="242"/>
  <c r="G135" i="242"/>
  <c r="G148" i="242"/>
  <c r="H13" i="242"/>
  <c r="H27" i="242"/>
  <c r="H69" i="242"/>
  <c r="H135" i="242"/>
  <c r="H148" i="242"/>
  <c r="K13" i="242"/>
  <c r="K27" i="242"/>
  <c r="K69" i="242"/>
  <c r="K135" i="242"/>
  <c r="C13" i="242"/>
  <c r="C27" i="242"/>
  <c r="C69" i="242"/>
  <c r="C135" i="242"/>
  <c r="C148" i="242"/>
  <c r="K35" i="272"/>
  <c r="K33" i="272"/>
  <c r="G38" i="272"/>
  <c r="F38" i="272"/>
  <c r="G37" i="272"/>
  <c r="H33" i="272"/>
  <c r="F33" i="272"/>
  <c r="K160" i="323"/>
  <c r="K20" i="272"/>
  <c r="K149" i="323"/>
  <c r="K19" i="272"/>
  <c r="K138" i="323"/>
  <c r="K18" i="272"/>
  <c r="K127" i="323"/>
  <c r="K17" i="272"/>
  <c r="K116" i="323"/>
  <c r="K16" i="272"/>
  <c r="K105" i="323"/>
  <c r="K15" i="272"/>
  <c r="K94" i="323"/>
  <c r="K14" i="272"/>
  <c r="G105" i="323"/>
  <c r="G15" i="272"/>
  <c r="I15" i="272"/>
  <c r="J15" i="272"/>
  <c r="H105" i="323"/>
  <c r="G116" i="323"/>
  <c r="G16" i="272"/>
  <c r="H116" i="323"/>
  <c r="H16" i="272"/>
  <c r="G127" i="323"/>
  <c r="G17" i="272"/>
  <c r="I17" i="272"/>
  <c r="J17" i="272"/>
  <c r="H127" i="323"/>
  <c r="H17" i="272"/>
  <c r="G138" i="323"/>
  <c r="H138" i="323"/>
  <c r="I138" i="323"/>
  <c r="J138" i="323"/>
  <c r="G149" i="323"/>
  <c r="G19" i="272"/>
  <c r="H149" i="323"/>
  <c r="I149" i="323"/>
  <c r="J149" i="323"/>
  <c r="G160" i="323"/>
  <c r="I160" i="323"/>
  <c r="J160" i="323"/>
  <c r="H160" i="323"/>
  <c r="F160" i="323"/>
  <c r="F20" i="272"/>
  <c r="E160" i="323"/>
  <c r="E20" i="272"/>
  <c r="D160" i="323"/>
  <c r="D20" i="272"/>
  <c r="F149" i="323"/>
  <c r="F19" i="272"/>
  <c r="E149" i="323"/>
  <c r="E19" i="272"/>
  <c r="D149" i="323"/>
  <c r="D19" i="272"/>
  <c r="F138" i="323"/>
  <c r="F18" i="272"/>
  <c r="E138" i="323"/>
  <c r="E18" i="272"/>
  <c r="D138" i="323"/>
  <c r="D18" i="272"/>
  <c r="F127" i="323"/>
  <c r="F17" i="272"/>
  <c r="E127" i="323"/>
  <c r="E17" i="272"/>
  <c r="D127" i="323"/>
  <c r="F116" i="323"/>
  <c r="F16" i="272"/>
  <c r="E116" i="323"/>
  <c r="E16" i="272"/>
  <c r="D116" i="323"/>
  <c r="D16" i="272"/>
  <c r="F105" i="323"/>
  <c r="F15" i="272"/>
  <c r="E105" i="323"/>
  <c r="E15" i="272"/>
  <c r="D105" i="323"/>
  <c r="D15" i="272"/>
  <c r="C160" i="323"/>
  <c r="C20" i="272"/>
  <c r="C149" i="323"/>
  <c r="C19" i="272"/>
  <c r="C138" i="323"/>
  <c r="C18" i="272"/>
  <c r="C127" i="323"/>
  <c r="C17" i="272"/>
  <c r="C116" i="323"/>
  <c r="C16" i="272"/>
  <c r="X36" i="329"/>
  <c r="B12" i="100" s="1"/>
  <c r="O3" i="317" s="1"/>
  <c r="F77" i="100"/>
  <c r="B27" i="322"/>
  <c r="B73" i="100"/>
  <c r="C7" i="330"/>
  <c r="C6" i="330" s="1"/>
  <c r="C24" i="330"/>
  <c r="C9" i="241" s="1"/>
  <c r="C87" i="330"/>
  <c r="C18" i="241" s="1"/>
  <c r="C92" i="330"/>
  <c r="C19" i="241" s="1"/>
  <c r="C100" i="330"/>
  <c r="C104" i="330"/>
  <c r="C22" i="241" s="1"/>
  <c r="C108" i="330"/>
  <c r="C23" i="241" s="1"/>
  <c r="K7" i="330"/>
  <c r="K24" i="330"/>
  <c r="K9" i="241" s="1"/>
  <c r="K87" i="330"/>
  <c r="K18" i="241" s="1"/>
  <c r="K92" i="330"/>
  <c r="K19" i="241"/>
  <c r="K100" i="330"/>
  <c r="K21" i="241" s="1"/>
  <c r="K104" i="330"/>
  <c r="K22" i="241" s="1"/>
  <c r="K108" i="330"/>
  <c r="K23" i="241" s="1"/>
  <c r="K118" i="330"/>
  <c r="K25" i="241" s="1"/>
  <c r="K129" i="330"/>
  <c r="K30" i="241" s="1"/>
  <c r="K177" i="330"/>
  <c r="K36" i="241" s="1"/>
  <c r="K189" i="330"/>
  <c r="K38" i="241" s="1"/>
  <c r="K198" i="330"/>
  <c r="K209" i="330"/>
  <c r="K41" i="241"/>
  <c r="K214" i="330"/>
  <c r="K42" i="241" s="1"/>
  <c r="K222" i="330"/>
  <c r="K44" i="241" s="1"/>
  <c r="K226" i="330"/>
  <c r="K45" i="241" s="1"/>
  <c r="K230" i="330"/>
  <c r="K46" i="241" s="1"/>
  <c r="K240" i="330"/>
  <c r="K48" i="241" s="1"/>
  <c r="H7" i="330"/>
  <c r="H7" i="241" s="1"/>
  <c r="H24" i="330"/>
  <c r="H9" i="241" s="1"/>
  <c r="H92" i="330"/>
  <c r="H19" i="241" s="1"/>
  <c r="H100" i="330"/>
  <c r="H21" i="241" s="1"/>
  <c r="H129" i="330"/>
  <c r="H189" i="330"/>
  <c r="H38" i="241" s="1"/>
  <c r="H209" i="330"/>
  <c r="H41" i="241" s="1"/>
  <c r="H226" i="330"/>
  <c r="G7" i="330"/>
  <c r="G7" i="241" s="1"/>
  <c r="G24" i="330"/>
  <c r="G87" i="330"/>
  <c r="G18" i="241" s="1"/>
  <c r="G92" i="330"/>
  <c r="G100" i="330"/>
  <c r="G21" i="241" s="1"/>
  <c r="G104" i="330"/>
  <c r="G22" i="241" s="1"/>
  <c r="G108" i="330"/>
  <c r="G118" i="330"/>
  <c r="G25" i="241" s="1"/>
  <c r="G129" i="330"/>
  <c r="G30" i="241" s="1"/>
  <c r="G36" i="241"/>
  <c r="G189" i="330"/>
  <c r="G38" i="241" s="1"/>
  <c r="G198" i="330"/>
  <c r="G40" i="241" s="1"/>
  <c r="G209" i="330"/>
  <c r="G41" i="241" s="1"/>
  <c r="G214" i="330"/>
  <c r="G42" i="241" s="1"/>
  <c r="G222" i="330"/>
  <c r="G44" i="241" s="1"/>
  <c r="G226" i="330"/>
  <c r="G45" i="241" s="1"/>
  <c r="G230" i="330"/>
  <c r="G46" i="241" s="1"/>
  <c r="G240" i="330"/>
  <c r="F7" i="330"/>
  <c r="F24" i="330"/>
  <c r="F87" i="330"/>
  <c r="F18" i="241" s="1"/>
  <c r="F92" i="330"/>
  <c r="F19" i="241" s="1"/>
  <c r="F100" i="330"/>
  <c r="F104" i="330"/>
  <c r="F22" i="241" s="1"/>
  <c r="F108" i="330"/>
  <c r="F23" i="241" s="1"/>
  <c r="F118" i="330"/>
  <c r="F25" i="241" s="1"/>
  <c r="F129" i="330"/>
  <c r="F30" i="241" s="1"/>
  <c r="F36" i="241"/>
  <c r="F189" i="330"/>
  <c r="F38" i="241" s="1"/>
  <c r="F198" i="330"/>
  <c r="F40" i="241" s="1"/>
  <c r="F209" i="330"/>
  <c r="F41" i="241" s="1"/>
  <c r="F214" i="330"/>
  <c r="F42" i="241" s="1"/>
  <c r="F222" i="330"/>
  <c r="F44" i="241" s="1"/>
  <c r="F226" i="330"/>
  <c r="F45" i="241" s="1"/>
  <c r="F230" i="330"/>
  <c r="F46" i="241" s="1"/>
  <c r="F240" i="330"/>
  <c r="F48" i="241" s="1"/>
  <c r="E7" i="330"/>
  <c r="E7" i="241" s="1"/>
  <c r="E24" i="330"/>
  <c r="E9" i="241" s="1"/>
  <c r="E87" i="330"/>
  <c r="E18" i="241" s="1"/>
  <c r="E92" i="330"/>
  <c r="E19" i="241" s="1"/>
  <c r="E100" i="330"/>
  <c r="E21" i="241" s="1"/>
  <c r="E104" i="330"/>
  <c r="E108" i="330"/>
  <c r="E23" i="241" s="1"/>
  <c r="E118" i="330"/>
  <c r="E25" i="241"/>
  <c r="E129" i="330"/>
  <c r="E30" i="241" s="1"/>
  <c r="E177" i="330"/>
  <c r="E36" i="241" s="1"/>
  <c r="E189" i="330"/>
  <c r="E38" i="241" s="1"/>
  <c r="E198" i="330"/>
  <c r="E40" i="241" s="1"/>
  <c r="E209" i="330"/>
  <c r="E41" i="241" s="1"/>
  <c r="E214" i="330"/>
  <c r="E42" i="241" s="1"/>
  <c r="E222" i="330"/>
  <c r="E44" i="241" s="1"/>
  <c r="E226" i="330"/>
  <c r="E45" i="241" s="1"/>
  <c r="E230" i="330"/>
  <c r="E46" i="241" s="1"/>
  <c r="E240" i="330"/>
  <c r="E48" i="241" s="1"/>
  <c r="D7" i="330"/>
  <c r="D7" i="241"/>
  <c r="D6" i="241" s="1"/>
  <c r="D24" i="330"/>
  <c r="D9" i="241" s="1"/>
  <c r="D87" i="330"/>
  <c r="D75" i="330" s="1"/>
  <c r="D92" i="330"/>
  <c r="D19" i="241"/>
  <c r="D100" i="330"/>
  <c r="D21" i="241" s="1"/>
  <c r="D20" i="241" s="1"/>
  <c r="D104" i="330"/>
  <c r="D22" i="241"/>
  <c r="D108" i="330"/>
  <c r="D23" i="241"/>
  <c r="D118" i="330"/>
  <c r="D25" i="241"/>
  <c r="D129" i="330"/>
  <c r="D32" i="241"/>
  <c r="D177" i="330"/>
  <c r="D189" i="330"/>
  <c r="D148" i="330" s="1"/>
  <c r="D198" i="330"/>
  <c r="D197" i="330" s="1"/>
  <c r="D40" i="241"/>
  <c r="D209" i="330"/>
  <c r="D41" i="241"/>
  <c r="D214" i="330"/>
  <c r="D42" i="241"/>
  <c r="D222" i="330"/>
  <c r="D44" i="241"/>
  <c r="D43" i="241" s="1"/>
  <c r="D226" i="330"/>
  <c r="D45" i="241"/>
  <c r="D230" i="330"/>
  <c r="D46" i="241"/>
  <c r="D240" i="330"/>
  <c r="D48" i="241"/>
  <c r="C240" i="330"/>
  <c r="C48" i="241" s="1"/>
  <c r="C230" i="330"/>
  <c r="C46" i="241" s="1"/>
  <c r="C226" i="330"/>
  <c r="C45" i="241"/>
  <c r="C222" i="330"/>
  <c r="C44" i="241" s="1"/>
  <c r="C214" i="330"/>
  <c r="C42" i="241" s="1"/>
  <c r="C209" i="330"/>
  <c r="C41" i="241"/>
  <c r="C198" i="330"/>
  <c r="C40" i="241" s="1"/>
  <c r="C189" i="330"/>
  <c r="C38" i="241" s="1"/>
  <c r="C177" i="330"/>
  <c r="C129" i="330"/>
  <c r="C30" i="241"/>
  <c r="I246" i="330"/>
  <c r="J246" i="330" s="1"/>
  <c r="I244" i="330"/>
  <c r="J244" i="330" s="1"/>
  <c r="I242" i="330"/>
  <c r="J242" i="330" s="1"/>
  <c r="I239" i="330"/>
  <c r="J239" i="330" s="1"/>
  <c r="I234" i="330"/>
  <c r="J234" i="330" s="1"/>
  <c r="I231" i="330"/>
  <c r="J231" i="330" s="1"/>
  <c r="I227" i="330"/>
  <c r="J227" i="330" s="1"/>
  <c r="I225" i="330"/>
  <c r="J225" i="330" s="1"/>
  <c r="I220" i="330"/>
  <c r="J220" i="330" s="1"/>
  <c r="I216" i="330"/>
  <c r="J216" i="330" s="1"/>
  <c r="I213" i="330"/>
  <c r="J213" i="330" s="1"/>
  <c r="I210" i="330"/>
  <c r="J210" i="330" s="1"/>
  <c r="I199" i="330"/>
  <c r="J199" i="330" s="1"/>
  <c r="I196" i="330"/>
  <c r="J196" i="330" s="1"/>
  <c r="I195" i="330"/>
  <c r="J195" i="330" s="1"/>
  <c r="I190" i="330"/>
  <c r="J190" i="330" s="1"/>
  <c r="I185" i="330"/>
  <c r="J185" i="330" s="1"/>
  <c r="I182" i="330"/>
  <c r="J182" i="330" s="1"/>
  <c r="I181" i="330"/>
  <c r="J181" i="330" s="1"/>
  <c r="I178" i="330"/>
  <c r="J178" i="330" s="1"/>
  <c r="I131" i="330"/>
  <c r="J131" i="330" s="1"/>
  <c r="I130" i="330"/>
  <c r="J130" i="330" s="1"/>
  <c r="I124" i="330"/>
  <c r="J124" i="330" s="1"/>
  <c r="I123" i="330"/>
  <c r="J123" i="330" s="1"/>
  <c r="I122" i="330"/>
  <c r="J122" i="330" s="1"/>
  <c r="I120" i="330"/>
  <c r="J120" i="330" s="1"/>
  <c r="I119" i="330"/>
  <c r="J119" i="330" s="1"/>
  <c r="I116" i="330"/>
  <c r="J116" i="330" s="1"/>
  <c r="I112" i="330"/>
  <c r="J112" i="330" s="1"/>
  <c r="I110" i="330"/>
  <c r="J110" i="330" s="1"/>
  <c r="I109" i="330"/>
  <c r="J109" i="330" s="1"/>
  <c r="I107" i="330"/>
  <c r="J107" i="330" s="1"/>
  <c r="I105" i="330"/>
  <c r="J105" i="330" s="1"/>
  <c r="I103" i="330"/>
  <c r="J103" i="330" s="1"/>
  <c r="I101" i="330"/>
  <c r="J101" i="330" s="1"/>
  <c r="I98" i="330"/>
  <c r="J98" i="330" s="1"/>
  <c r="I97" i="330"/>
  <c r="J97" i="330" s="1"/>
  <c r="I93" i="330"/>
  <c r="J93" i="330" s="1"/>
  <c r="I91" i="330"/>
  <c r="J91" i="330" s="1"/>
  <c r="I90" i="330"/>
  <c r="J90" i="330" s="1"/>
  <c r="I89" i="330"/>
  <c r="J89" i="330" s="1"/>
  <c r="I86" i="330"/>
  <c r="J86" i="330" s="1"/>
  <c r="I85" i="330"/>
  <c r="J85" i="330" s="1"/>
  <c r="I84" i="330"/>
  <c r="J84" i="330" s="1"/>
  <c r="I74" i="330"/>
  <c r="J74" i="330"/>
  <c r="I73" i="330"/>
  <c r="J73" i="330"/>
  <c r="I72" i="330"/>
  <c r="J72" i="330"/>
  <c r="I63" i="330"/>
  <c r="J63" i="330" s="1"/>
  <c r="I48" i="330"/>
  <c r="J48" i="330" s="1"/>
  <c r="I46" i="330"/>
  <c r="J46" i="330" s="1"/>
  <c r="I44" i="330"/>
  <c r="J44" i="330" s="1"/>
  <c r="I42" i="330"/>
  <c r="J42" i="330" s="1"/>
  <c r="I25" i="330"/>
  <c r="J25" i="330"/>
  <c r="I9" i="330"/>
  <c r="J9" i="330" s="1"/>
  <c r="I8" i="330"/>
  <c r="J8" i="330" s="1"/>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c r="O2" i="317" s="1"/>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H37" i="177"/>
  <c r="G45" i="267" s="1"/>
  <c r="G37" i="177"/>
  <c r="F37" i="177"/>
  <c r="E45" i="267"/>
  <c r="E37" i="177"/>
  <c r="D45" i="267"/>
  <c r="D37" i="177"/>
  <c r="C45" i="267"/>
  <c r="C37" i="177"/>
  <c r="B45" i="267" s="1"/>
  <c r="K28" i="177"/>
  <c r="J44" i="267" s="1"/>
  <c r="H28" i="177"/>
  <c r="G44" i="267" s="1"/>
  <c r="G28" i="177"/>
  <c r="F28" i="177"/>
  <c r="E44" i="267" s="1"/>
  <c r="E28" i="177"/>
  <c r="D44" i="267" s="1"/>
  <c r="C28" i="177"/>
  <c r="B44" i="267" s="1"/>
  <c r="K18" i="177"/>
  <c r="J43" i="267" s="1"/>
  <c r="G18" i="177"/>
  <c r="F43" i="267" s="1"/>
  <c r="F18" i="177"/>
  <c r="E43" i="267" s="1"/>
  <c r="E18" i="177"/>
  <c r="D43" i="267" s="1"/>
  <c r="E77" i="100"/>
  <c r="E46" i="267"/>
  <c r="G48" i="178"/>
  <c r="H49" i="174" s="1"/>
  <c r="G40" i="178"/>
  <c r="J39" i="267" s="1"/>
  <c r="G35" i="178"/>
  <c r="H53" i="174"/>
  <c r="H14" i="174" s="1"/>
  <c r="G13" i="178"/>
  <c r="E48" i="178"/>
  <c r="D40" i="267" s="1"/>
  <c r="D48" i="178"/>
  <c r="C40" i="267"/>
  <c r="E40" i="178"/>
  <c r="D39" i="267" s="1"/>
  <c r="D40" i="178"/>
  <c r="C39" i="267"/>
  <c r="E35" i="178"/>
  <c r="D38" i="267" s="1"/>
  <c r="D35" i="178"/>
  <c r="C38" i="267"/>
  <c r="E13" i="178"/>
  <c r="D36" i="267" s="1"/>
  <c r="D13" i="178"/>
  <c r="C48" i="178"/>
  <c r="B40" i="267" s="1"/>
  <c r="C40" i="178"/>
  <c r="C35" i="178"/>
  <c r="B38" i="267" s="1"/>
  <c r="B37" i="267"/>
  <c r="C13" i="178"/>
  <c r="B36" i="267" s="1"/>
  <c r="J32" i="267"/>
  <c r="J31" i="267"/>
  <c r="G32" i="267"/>
  <c r="F32" i="267"/>
  <c r="E32" i="267"/>
  <c r="D32" i="267"/>
  <c r="C32" i="267"/>
  <c r="G31" i="267"/>
  <c r="F31" i="267"/>
  <c r="E31" i="267"/>
  <c r="D31" i="267"/>
  <c r="C31" i="267"/>
  <c r="B32" i="267"/>
  <c r="B31" i="267"/>
  <c r="B33" i="267" s="1"/>
  <c r="J24" i="267"/>
  <c r="G24" i="267"/>
  <c r="F24" i="267"/>
  <c r="H24" i="267"/>
  <c r="E24" i="267"/>
  <c r="D24" i="267"/>
  <c r="C24" i="267"/>
  <c r="B24" i="267"/>
  <c r="J6" i="267"/>
  <c r="J9" i="267"/>
  <c r="J21" i="267"/>
  <c r="J22" i="267"/>
  <c r="G22" i="267"/>
  <c r="F22" i="267"/>
  <c r="E22" i="267"/>
  <c r="D22" i="267"/>
  <c r="C22" i="267"/>
  <c r="G21" i="267"/>
  <c r="F21" i="267"/>
  <c r="E21" i="267"/>
  <c r="D21" i="267"/>
  <c r="C21" i="267"/>
  <c r="B22" i="267"/>
  <c r="B21" i="267"/>
  <c r="G36" i="182"/>
  <c r="G45" i="174" s="1"/>
  <c r="F36" i="182"/>
  <c r="E36" i="182"/>
  <c r="E38" i="182" s="1"/>
  <c r="E42" i="182" s="1"/>
  <c r="E44" i="182" s="1"/>
  <c r="E46" i="182" s="1"/>
  <c r="E48" i="182" s="1"/>
  <c r="D36" i="182"/>
  <c r="C18" i="267"/>
  <c r="C36" i="182"/>
  <c r="C38" i="182" s="1"/>
  <c r="C42" i="182" s="1"/>
  <c r="C44" i="182" s="1"/>
  <c r="C46" i="182" s="1"/>
  <c r="C48" i="182" s="1"/>
  <c r="F6" i="267"/>
  <c r="F9" i="267"/>
  <c r="G6" i="267"/>
  <c r="G9" i="267"/>
  <c r="I6" i="182"/>
  <c r="J6" i="182" s="1"/>
  <c r="I7" i="182"/>
  <c r="J7" i="182" s="1"/>
  <c r="I8" i="182"/>
  <c r="J8" i="182" s="1"/>
  <c r="I9" i="182"/>
  <c r="J9" i="182" s="1"/>
  <c r="I10" i="182"/>
  <c r="J10" i="182" s="1"/>
  <c r="I13" i="182"/>
  <c r="J13" i="182" s="1"/>
  <c r="I14" i="182"/>
  <c r="J14" i="182" s="1"/>
  <c r="I19" i="182"/>
  <c r="J19" i="182" s="1"/>
  <c r="E6" i="267"/>
  <c r="E9" i="267"/>
  <c r="D6" i="267"/>
  <c r="D9" i="267"/>
  <c r="C6" i="267"/>
  <c r="C9" i="267"/>
  <c r="B6" i="267"/>
  <c r="D55" i="174"/>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K6" i="173"/>
  <c r="B104" i="172" s="1"/>
  <c r="K7" i="173"/>
  <c r="C104" i="172" s="1"/>
  <c r="K8" i="173"/>
  <c r="K9" i="173"/>
  <c r="E104" i="172" s="1"/>
  <c r="K10" i="173"/>
  <c r="F104" i="172" s="1"/>
  <c r="K11" i="173"/>
  <c r="G104" i="172" s="1"/>
  <c r="K12" i="173"/>
  <c r="H104" i="172" s="1"/>
  <c r="K13" i="173"/>
  <c r="I104" i="172" s="1"/>
  <c r="K14" i="173"/>
  <c r="J104" i="172" s="1"/>
  <c r="C14" i="175"/>
  <c r="B50" i="267" s="1"/>
  <c r="D14" i="175"/>
  <c r="C53" i="172" s="1"/>
  <c r="E14" i="175"/>
  <c r="D50" i="267" s="1"/>
  <c r="F14" i="175"/>
  <c r="E50" i="267" s="1"/>
  <c r="G14" i="175"/>
  <c r="F53" i="172" s="1"/>
  <c r="H14" i="175"/>
  <c r="G53" i="172" s="1"/>
  <c r="I14" i="175"/>
  <c r="H53" i="172" s="1"/>
  <c r="J14" i="175"/>
  <c r="I53" i="172" s="1"/>
  <c r="K40" i="177"/>
  <c r="B29" i="267"/>
  <c r="C6" i="323"/>
  <c r="C17" i="323"/>
  <c r="C7" i="272" s="1"/>
  <c r="C28" i="323"/>
  <c r="C8" i="272" s="1"/>
  <c r="C39" i="323"/>
  <c r="C9" i="272" s="1"/>
  <c r="C50" i="323"/>
  <c r="C10" i="272" s="1"/>
  <c r="C61" i="323"/>
  <c r="C11" i="272" s="1"/>
  <c r="C72" i="323"/>
  <c r="C83" i="323"/>
  <c r="C13" i="272"/>
  <c r="C94" i="323"/>
  <c r="C14" i="272"/>
  <c r="C105" i="323"/>
  <c r="C15" i="272"/>
  <c r="H6" i="323"/>
  <c r="H28" i="323"/>
  <c r="H8" i="272" s="1"/>
  <c r="H39" i="323"/>
  <c r="H9" i="272" s="1"/>
  <c r="H50" i="323"/>
  <c r="H10" i="272" s="1"/>
  <c r="H61" i="323"/>
  <c r="H11" i="272" s="1"/>
  <c r="H72" i="323"/>
  <c r="H12" i="272"/>
  <c r="H83" i="323"/>
  <c r="H13" i="272"/>
  <c r="H94" i="323"/>
  <c r="I94" i="323"/>
  <c r="J94" i="323"/>
  <c r="G6" i="323"/>
  <c r="G6" i="272" s="1"/>
  <c r="G17" i="323"/>
  <c r="G7" i="272" s="1"/>
  <c r="G39" i="323"/>
  <c r="G9" i="272" s="1"/>
  <c r="G50" i="323"/>
  <c r="G10" i="272" s="1"/>
  <c r="G61" i="323"/>
  <c r="G11" i="272" s="1"/>
  <c r="G72" i="323"/>
  <c r="G12" i="272"/>
  <c r="I12" i="272"/>
  <c r="J12" i="272"/>
  <c r="G83" i="323"/>
  <c r="G13" i="272"/>
  <c r="I13" i="272"/>
  <c r="J13" i="272"/>
  <c r="G94" i="323"/>
  <c r="D6" i="323"/>
  <c r="D6" i="272"/>
  <c r="D17" i="323"/>
  <c r="D28" i="323"/>
  <c r="D39" i="323"/>
  <c r="D9" i="272"/>
  <c r="D50" i="323"/>
  <c r="D10" i="272"/>
  <c r="D61" i="323"/>
  <c r="D11" i="272"/>
  <c r="D72" i="323"/>
  <c r="D83" i="323"/>
  <c r="D13" i="272"/>
  <c r="D94" i="323"/>
  <c r="D14" i="272"/>
  <c r="E6" i="323"/>
  <c r="E6" i="272" s="1"/>
  <c r="E17" i="323"/>
  <c r="E28" i="323"/>
  <c r="E8" i="272" s="1"/>
  <c r="E39" i="323"/>
  <c r="E9" i="272"/>
  <c r="E50" i="323"/>
  <c r="E10" i="272"/>
  <c r="E61" i="323"/>
  <c r="E11" i="272"/>
  <c r="E72" i="323"/>
  <c r="E83" i="323"/>
  <c r="E13" i="272"/>
  <c r="E94" i="323"/>
  <c r="E14" i="272"/>
  <c r="F6" i="323"/>
  <c r="F17" i="323"/>
  <c r="F7" i="272" s="1"/>
  <c r="F8" i="272"/>
  <c r="F39" i="323"/>
  <c r="F9" i="272" s="1"/>
  <c r="F50" i="323"/>
  <c r="F10" i="272" s="1"/>
  <c r="F61" i="323"/>
  <c r="F11" i="272" s="1"/>
  <c r="F72" i="323"/>
  <c r="F12" i="272"/>
  <c r="F83" i="323"/>
  <c r="F13" i="272"/>
  <c r="F94" i="323"/>
  <c r="F14" i="272"/>
  <c r="K6" i="323"/>
  <c r="K6" i="272" s="1"/>
  <c r="K17" i="323"/>
  <c r="K7" i="272" s="1"/>
  <c r="K28" i="323"/>
  <c r="K8" i="272" s="1"/>
  <c r="K39" i="323"/>
  <c r="K9" i="272"/>
  <c r="K50" i="323"/>
  <c r="K10" i="272"/>
  <c r="K61" i="323"/>
  <c r="K11" i="272" s="1"/>
  <c r="K72" i="323"/>
  <c r="K12" i="272"/>
  <c r="K83" i="323"/>
  <c r="C3" i="241"/>
  <c r="A2" i="241"/>
  <c r="K3" i="241"/>
  <c r="J3" i="241"/>
  <c r="I3" i="241"/>
  <c r="H3" i="241"/>
  <c r="G3" i="241"/>
  <c r="F3" i="241"/>
  <c r="E3" i="241"/>
  <c r="D3" i="241"/>
  <c r="B2" i="241"/>
  <c r="A51" i="241"/>
  <c r="I340" i="323"/>
  <c r="J340" i="323"/>
  <c r="I338" i="323"/>
  <c r="J338" i="323"/>
  <c r="I337" i="323"/>
  <c r="J337" i="323"/>
  <c r="I336" i="323"/>
  <c r="J336" i="323"/>
  <c r="I335" i="323"/>
  <c r="J335" i="323"/>
  <c r="I334" i="323"/>
  <c r="J334" i="323"/>
  <c r="I333" i="323"/>
  <c r="J333" i="323"/>
  <c r="I332" i="323"/>
  <c r="J332" i="323"/>
  <c r="I331" i="323"/>
  <c r="J331" i="323"/>
  <c r="I330" i="323"/>
  <c r="J330" i="323"/>
  <c r="I329" i="323"/>
  <c r="J329" i="323"/>
  <c r="I328" i="323"/>
  <c r="J328" i="323"/>
  <c r="I327" i="323"/>
  <c r="J327" i="323"/>
  <c r="I326" i="323"/>
  <c r="J326" i="323"/>
  <c r="I325" i="323"/>
  <c r="J325" i="323"/>
  <c r="I324" i="323"/>
  <c r="J324" i="323"/>
  <c r="I323" i="323"/>
  <c r="J323" i="323"/>
  <c r="I322" i="323"/>
  <c r="J322" i="323"/>
  <c r="I321" i="323"/>
  <c r="J321" i="323"/>
  <c r="I320" i="323"/>
  <c r="J320" i="323"/>
  <c r="I319" i="323"/>
  <c r="J319" i="323"/>
  <c r="I318" i="323"/>
  <c r="J318" i="323"/>
  <c r="I316" i="323"/>
  <c r="J316" i="323"/>
  <c r="I315" i="323"/>
  <c r="J315" i="323"/>
  <c r="I314" i="323"/>
  <c r="J314" i="323"/>
  <c r="I313" i="323"/>
  <c r="J313" i="323"/>
  <c r="I312" i="323"/>
  <c r="J312" i="323"/>
  <c r="I311" i="323"/>
  <c r="J311" i="323"/>
  <c r="I310" i="323"/>
  <c r="J310" i="323"/>
  <c r="I309" i="323"/>
  <c r="J309" i="323"/>
  <c r="I308" i="323"/>
  <c r="J308" i="323"/>
  <c r="I307" i="323"/>
  <c r="J307" i="323"/>
  <c r="I305" i="323"/>
  <c r="J305" i="323"/>
  <c r="I304" i="323"/>
  <c r="J304" i="323"/>
  <c r="I303" i="323"/>
  <c r="J303" i="323"/>
  <c r="I302" i="323"/>
  <c r="J302" i="323"/>
  <c r="I301" i="323"/>
  <c r="J301" i="323"/>
  <c r="I300" i="323"/>
  <c r="J300" i="323"/>
  <c r="I299" i="323"/>
  <c r="J299" i="323"/>
  <c r="I298" i="323"/>
  <c r="J298" i="323"/>
  <c r="I297" i="323"/>
  <c r="J297" i="323"/>
  <c r="I296" i="323"/>
  <c r="J296" i="323"/>
  <c r="I294" i="323"/>
  <c r="J294" i="323"/>
  <c r="I293" i="323"/>
  <c r="J293" i="323"/>
  <c r="I292" i="323"/>
  <c r="J292" i="323"/>
  <c r="I291" i="323"/>
  <c r="J291" i="323"/>
  <c r="I290" i="323"/>
  <c r="J290" i="323"/>
  <c r="I289" i="323"/>
  <c r="J289" i="323"/>
  <c r="I288" i="323"/>
  <c r="J288" i="323"/>
  <c r="I287" i="323"/>
  <c r="J287" i="323"/>
  <c r="I286" i="323"/>
  <c r="J286" i="323"/>
  <c r="I285" i="323"/>
  <c r="J285" i="323"/>
  <c r="I283" i="323"/>
  <c r="J283" i="323"/>
  <c r="I282" i="323"/>
  <c r="J282" i="323"/>
  <c r="I281" i="323"/>
  <c r="J281" i="323"/>
  <c r="I280" i="323"/>
  <c r="J280" i="323"/>
  <c r="I279" i="323"/>
  <c r="J279" i="323"/>
  <c r="I278" i="323"/>
  <c r="J278" i="323"/>
  <c r="I277" i="323"/>
  <c r="J277" i="323"/>
  <c r="I276" i="323"/>
  <c r="J276" i="323"/>
  <c r="I275" i="323"/>
  <c r="J275" i="323"/>
  <c r="I274" i="323"/>
  <c r="J274" i="323"/>
  <c r="I272" i="323"/>
  <c r="J272" i="323"/>
  <c r="I271" i="323"/>
  <c r="J271" i="323"/>
  <c r="I270" i="323"/>
  <c r="J270" i="323"/>
  <c r="I269" i="323"/>
  <c r="J269" i="323"/>
  <c r="I268" i="323"/>
  <c r="J268" i="323"/>
  <c r="I267" i="323"/>
  <c r="J267" i="323"/>
  <c r="I266" i="323"/>
  <c r="J266" i="323"/>
  <c r="I265" i="323"/>
  <c r="J265" i="323"/>
  <c r="I264" i="323"/>
  <c r="J264" i="323"/>
  <c r="I263" i="323"/>
  <c r="J263" i="323"/>
  <c r="I261" i="323"/>
  <c r="J261" i="323"/>
  <c r="I260" i="323"/>
  <c r="J260" i="323"/>
  <c r="I259" i="323"/>
  <c r="J259" i="323"/>
  <c r="I258" i="323"/>
  <c r="J258" i="323"/>
  <c r="I257" i="323"/>
  <c r="J257" i="323"/>
  <c r="I256" i="323"/>
  <c r="J256" i="323"/>
  <c r="I255" i="323"/>
  <c r="J255" i="323"/>
  <c r="I254" i="323"/>
  <c r="J254" i="323"/>
  <c r="I253" i="323"/>
  <c r="J253" i="323"/>
  <c r="I252" i="323"/>
  <c r="J252" i="323"/>
  <c r="I250" i="323"/>
  <c r="J250" i="323"/>
  <c r="I249" i="323"/>
  <c r="J249" i="323"/>
  <c r="I248" i="323"/>
  <c r="J248" i="323"/>
  <c r="I247" i="323"/>
  <c r="J247" i="323"/>
  <c r="I246" i="323"/>
  <c r="J246" i="323"/>
  <c r="I245" i="323"/>
  <c r="J245" i="323"/>
  <c r="I244" i="323"/>
  <c r="J244" i="323"/>
  <c r="I243" i="323"/>
  <c r="J243" i="323"/>
  <c r="I242" i="323"/>
  <c r="J242" i="323"/>
  <c r="I241" i="323"/>
  <c r="J241" i="323"/>
  <c r="I240" i="323"/>
  <c r="J240" i="323"/>
  <c r="I239" i="323"/>
  <c r="J239" i="323"/>
  <c r="I238" i="323"/>
  <c r="J238" i="323"/>
  <c r="I237" i="323"/>
  <c r="J237" i="323"/>
  <c r="I236" i="323"/>
  <c r="J236" i="323"/>
  <c r="I235" i="323"/>
  <c r="J235" i="323"/>
  <c r="I234" i="323"/>
  <c r="J234" i="323" s="1"/>
  <c r="I233" i="323"/>
  <c r="J233" i="323" s="1"/>
  <c r="I232" i="323"/>
  <c r="J232" i="323" s="1"/>
  <c r="I231" i="323"/>
  <c r="J231" i="323" s="1"/>
  <c r="I230" i="323"/>
  <c r="J230" i="323" s="1"/>
  <c r="I228" i="323"/>
  <c r="J228" i="323"/>
  <c r="I227" i="323"/>
  <c r="J227" i="323"/>
  <c r="I226" i="323"/>
  <c r="J226" i="323"/>
  <c r="I225" i="323"/>
  <c r="J225" i="323"/>
  <c r="I224" i="323"/>
  <c r="J224" i="323"/>
  <c r="I223" i="323"/>
  <c r="J223" i="323" s="1"/>
  <c r="I222" i="323"/>
  <c r="J222" i="323" s="1"/>
  <c r="I221" i="323"/>
  <c r="J221" i="323" s="1"/>
  <c r="I220" i="323"/>
  <c r="J220" i="323" s="1"/>
  <c r="I219" i="323"/>
  <c r="J219" i="323" s="1"/>
  <c r="I217" i="323"/>
  <c r="J217" i="323"/>
  <c r="I216" i="323"/>
  <c r="J216" i="323"/>
  <c r="I215" i="323"/>
  <c r="J215" i="323"/>
  <c r="I214" i="323"/>
  <c r="J214" i="323"/>
  <c r="I213" i="323"/>
  <c r="J213" i="323"/>
  <c r="I212" i="323"/>
  <c r="J212" i="323" s="1"/>
  <c r="I211" i="323"/>
  <c r="J211" i="323" s="1"/>
  <c r="I210" i="323"/>
  <c r="J210" i="323" s="1"/>
  <c r="I209" i="323"/>
  <c r="J209" i="323" s="1"/>
  <c r="I208" i="323"/>
  <c r="J208" i="323" s="1"/>
  <c r="I206" i="323"/>
  <c r="J206" i="323"/>
  <c r="I205" i="323"/>
  <c r="J205" i="323"/>
  <c r="I204" i="323"/>
  <c r="J204" i="323"/>
  <c r="I203" i="323"/>
  <c r="J203" i="323"/>
  <c r="I202" i="323"/>
  <c r="J202" i="323"/>
  <c r="I201" i="323"/>
  <c r="J201" i="323"/>
  <c r="I200" i="323"/>
  <c r="J200" i="323" s="1"/>
  <c r="I199" i="323"/>
  <c r="J199" i="323" s="1"/>
  <c r="I197" i="323"/>
  <c r="J197" i="323" s="1"/>
  <c r="I195" i="323"/>
  <c r="J195" i="323"/>
  <c r="I194" i="323"/>
  <c r="J194" i="323"/>
  <c r="I193" i="323"/>
  <c r="J193" i="323"/>
  <c r="I192" i="323"/>
  <c r="J192" i="323"/>
  <c r="I191" i="323"/>
  <c r="J191" i="323"/>
  <c r="I190" i="323"/>
  <c r="J190" i="323" s="1"/>
  <c r="I189" i="323"/>
  <c r="J189" i="323" s="1"/>
  <c r="I188" i="323"/>
  <c r="J188" i="323" s="1"/>
  <c r="I187" i="323"/>
  <c r="J187" i="323" s="1"/>
  <c r="I184" i="323"/>
  <c r="J184" i="323"/>
  <c r="I183" i="323"/>
  <c r="J183" i="323"/>
  <c r="I182" i="323"/>
  <c r="J182" i="323"/>
  <c r="I181" i="323"/>
  <c r="J181" i="323"/>
  <c r="I180" i="323"/>
  <c r="J180" i="323"/>
  <c r="I179" i="323"/>
  <c r="J179" i="323"/>
  <c r="I178" i="323"/>
  <c r="J178" i="323" s="1"/>
  <c r="I177" i="323"/>
  <c r="J177" i="323" s="1"/>
  <c r="I176" i="323"/>
  <c r="J176" i="323" s="1"/>
  <c r="I175" i="323"/>
  <c r="J175" i="323" s="1"/>
  <c r="I173" i="323"/>
  <c r="J173" i="323"/>
  <c r="I172" i="323"/>
  <c r="J172" i="323"/>
  <c r="I170" i="323"/>
  <c r="J170" i="323"/>
  <c r="I169" i="323"/>
  <c r="J169" i="323"/>
  <c r="I168" i="323"/>
  <c r="J168" i="323"/>
  <c r="I167" i="323"/>
  <c r="J167" i="323"/>
  <c r="I166" i="323"/>
  <c r="J166" i="323"/>
  <c r="I165" i="323"/>
  <c r="J165" i="323"/>
  <c r="I164" i="323"/>
  <c r="J164" i="323"/>
  <c r="I163" i="323"/>
  <c r="J163" i="323"/>
  <c r="I162" i="323"/>
  <c r="J162" i="323"/>
  <c r="I161" i="323"/>
  <c r="J161" i="323"/>
  <c r="I159" i="323"/>
  <c r="J159" i="323"/>
  <c r="I158" i="323"/>
  <c r="J158" i="323"/>
  <c r="I157" i="323"/>
  <c r="J157" i="323"/>
  <c r="I156" i="323"/>
  <c r="J156" i="323"/>
  <c r="I155" i="323"/>
  <c r="J155" i="323"/>
  <c r="I154" i="323"/>
  <c r="J154" i="323"/>
  <c r="I153" i="323"/>
  <c r="J153" i="323"/>
  <c r="I152" i="323"/>
  <c r="J152" i="323"/>
  <c r="I151" i="323"/>
  <c r="J151" i="323"/>
  <c r="I150" i="323"/>
  <c r="J150" i="323"/>
  <c r="I148" i="323"/>
  <c r="J148" i="323"/>
  <c r="I147" i="323"/>
  <c r="J147" i="323"/>
  <c r="I146" i="323"/>
  <c r="J146" i="323"/>
  <c r="I145" i="323"/>
  <c r="J145" i="323"/>
  <c r="I144" i="323"/>
  <c r="J144" i="323"/>
  <c r="I143" i="323"/>
  <c r="J143" i="323"/>
  <c r="I142" i="323"/>
  <c r="J142" i="323"/>
  <c r="I141" i="323"/>
  <c r="J141" i="323"/>
  <c r="I140" i="323"/>
  <c r="J140" i="323"/>
  <c r="I139" i="323"/>
  <c r="J139" i="323"/>
  <c r="I137" i="323"/>
  <c r="J137" i="323"/>
  <c r="I136" i="323"/>
  <c r="J136" i="323"/>
  <c r="I135" i="323"/>
  <c r="J135" i="323"/>
  <c r="I134" i="323"/>
  <c r="J134" i="323"/>
  <c r="I133" i="323"/>
  <c r="J133" i="323"/>
  <c r="I132" i="323"/>
  <c r="J132" i="323"/>
  <c r="I131" i="323"/>
  <c r="J131" i="323"/>
  <c r="I130" i="323"/>
  <c r="J130" i="323"/>
  <c r="I129" i="323"/>
  <c r="J129" i="323"/>
  <c r="I128" i="323"/>
  <c r="J128" i="323"/>
  <c r="I127" i="323"/>
  <c r="J127" i="323"/>
  <c r="I126" i="323"/>
  <c r="J126" i="323"/>
  <c r="I125" i="323"/>
  <c r="J125" i="323"/>
  <c r="I124" i="323"/>
  <c r="J124" i="323"/>
  <c r="I123" i="323"/>
  <c r="J123" i="323"/>
  <c r="I122" i="323"/>
  <c r="J122" i="323"/>
  <c r="I121" i="323"/>
  <c r="J121" i="323"/>
  <c r="I120" i="323"/>
  <c r="J120" i="323"/>
  <c r="I119" i="323"/>
  <c r="J119" i="323"/>
  <c r="I118" i="323"/>
  <c r="J118" i="323"/>
  <c r="I117" i="323"/>
  <c r="J117" i="323"/>
  <c r="I115" i="323"/>
  <c r="J115" i="323"/>
  <c r="I114" i="323"/>
  <c r="J114" i="323"/>
  <c r="I113" i="323"/>
  <c r="J113" i="323"/>
  <c r="I112" i="323"/>
  <c r="J112" i="323"/>
  <c r="I111" i="323"/>
  <c r="J111" i="323"/>
  <c r="I110" i="323"/>
  <c r="J110" i="323"/>
  <c r="I109" i="323"/>
  <c r="J109" i="323"/>
  <c r="I108" i="323"/>
  <c r="J108" i="323"/>
  <c r="I107" i="323"/>
  <c r="J107" i="323"/>
  <c r="I106" i="323"/>
  <c r="J106" i="323"/>
  <c r="I104" i="323"/>
  <c r="J104" i="323"/>
  <c r="I103" i="323"/>
  <c r="J103" i="323"/>
  <c r="I102" i="323"/>
  <c r="J102" i="323"/>
  <c r="I101" i="323"/>
  <c r="J101" i="323"/>
  <c r="I100" i="323"/>
  <c r="J100" i="323"/>
  <c r="I99" i="323"/>
  <c r="J99" i="323"/>
  <c r="I98" i="323"/>
  <c r="J98" i="323"/>
  <c r="I97" i="323"/>
  <c r="J97" i="323"/>
  <c r="I96" i="323"/>
  <c r="J96" i="323"/>
  <c r="I95" i="323"/>
  <c r="J95" i="323"/>
  <c r="I93" i="323"/>
  <c r="J93" i="323"/>
  <c r="I92" i="323"/>
  <c r="J92" i="323"/>
  <c r="I91" i="323"/>
  <c r="J91" i="323"/>
  <c r="I90" i="323"/>
  <c r="J90" i="323"/>
  <c r="I89" i="323"/>
  <c r="J89" i="323"/>
  <c r="I88" i="323"/>
  <c r="J88" i="323"/>
  <c r="I87" i="323"/>
  <c r="J87" i="323"/>
  <c r="I86" i="323"/>
  <c r="J86" i="323"/>
  <c r="I85" i="323"/>
  <c r="J85" i="323"/>
  <c r="I84" i="323"/>
  <c r="J84" i="323"/>
  <c r="I82" i="323"/>
  <c r="J82" i="323"/>
  <c r="I81" i="323"/>
  <c r="J81" i="323"/>
  <c r="I80" i="323"/>
  <c r="J80" i="323"/>
  <c r="I79" i="323"/>
  <c r="J79" i="323"/>
  <c r="I78" i="323"/>
  <c r="J78" i="323"/>
  <c r="I77" i="323"/>
  <c r="J77" i="323"/>
  <c r="I76" i="323"/>
  <c r="J76" i="323"/>
  <c r="I75" i="323"/>
  <c r="J75" i="323"/>
  <c r="I74" i="323"/>
  <c r="J74" i="323"/>
  <c r="I73" i="323"/>
  <c r="J73" i="323"/>
  <c r="I71" i="323"/>
  <c r="J71" i="323"/>
  <c r="I70" i="323"/>
  <c r="J70" i="323"/>
  <c r="I69" i="323"/>
  <c r="J69" i="323"/>
  <c r="I68" i="323"/>
  <c r="J68" i="323"/>
  <c r="I67" i="323"/>
  <c r="J67" i="323"/>
  <c r="I66" i="323"/>
  <c r="J66" i="323" s="1"/>
  <c r="I65" i="323"/>
  <c r="J65" i="323" s="1"/>
  <c r="I64" i="323"/>
  <c r="J64" i="323" s="1"/>
  <c r="I63" i="323"/>
  <c r="J63" i="323" s="1"/>
  <c r="I62" i="323"/>
  <c r="J62" i="323" s="1"/>
  <c r="I60" i="323"/>
  <c r="J60" i="323"/>
  <c r="I59" i="323"/>
  <c r="J59" i="323"/>
  <c r="I58" i="323"/>
  <c r="J58" i="323"/>
  <c r="I57" i="323"/>
  <c r="J57" i="323"/>
  <c r="I56" i="323"/>
  <c r="J56" i="323"/>
  <c r="I55" i="323"/>
  <c r="J55" i="323" s="1"/>
  <c r="I54" i="323"/>
  <c r="J54" i="323" s="1"/>
  <c r="I53" i="323"/>
  <c r="J53" i="323" s="1"/>
  <c r="I52" i="323"/>
  <c r="J52" i="323" s="1"/>
  <c r="I51" i="323"/>
  <c r="J51" i="323" s="1"/>
  <c r="I49" i="323"/>
  <c r="J49" i="323"/>
  <c r="I48" i="323"/>
  <c r="J48" i="323"/>
  <c r="I47" i="323"/>
  <c r="J47" i="323"/>
  <c r="I46" i="323"/>
  <c r="J46" i="323"/>
  <c r="I45" i="323"/>
  <c r="J45" i="323"/>
  <c r="I44" i="323"/>
  <c r="J44" i="323" s="1"/>
  <c r="I43" i="323"/>
  <c r="J43" i="323" s="1"/>
  <c r="I42" i="323"/>
  <c r="J42" i="323" s="1"/>
  <c r="I41" i="323"/>
  <c r="J41" i="323" s="1"/>
  <c r="I40" i="323"/>
  <c r="J40" i="323" s="1"/>
  <c r="I38" i="323"/>
  <c r="J38" i="323"/>
  <c r="I37" i="323"/>
  <c r="J37" i="323"/>
  <c r="I36" i="323"/>
  <c r="J36" i="323"/>
  <c r="I35" i="323"/>
  <c r="J35" i="323"/>
  <c r="I34" i="323"/>
  <c r="J34" i="323"/>
  <c r="I33" i="323"/>
  <c r="J33" i="323" s="1"/>
  <c r="I32" i="323"/>
  <c r="J32" i="323" s="1"/>
  <c r="I31" i="323"/>
  <c r="J31" i="323" s="1"/>
  <c r="I30" i="323"/>
  <c r="J30" i="323" s="1"/>
  <c r="I29" i="323"/>
  <c r="J29" i="323" s="1"/>
  <c r="I27" i="323"/>
  <c r="J27" i="323"/>
  <c r="I26" i="323"/>
  <c r="J26" i="323"/>
  <c r="I25" i="323"/>
  <c r="J25" i="323"/>
  <c r="I24" i="323"/>
  <c r="J24" i="323"/>
  <c r="I23" i="323"/>
  <c r="J23" i="323"/>
  <c r="I22" i="323"/>
  <c r="J22" i="323" s="1"/>
  <c r="I21" i="323"/>
  <c r="J21" i="323" s="1"/>
  <c r="I20" i="323"/>
  <c r="J20" i="323" s="1"/>
  <c r="I19" i="323"/>
  <c r="J19" i="323" s="1"/>
  <c r="I18" i="323"/>
  <c r="J18" i="323" s="1"/>
  <c r="I16" i="323"/>
  <c r="J16" i="323"/>
  <c r="I15" i="323"/>
  <c r="J15" i="323"/>
  <c r="I14" i="323"/>
  <c r="J14" i="323"/>
  <c r="I13" i="323"/>
  <c r="J13" i="323"/>
  <c r="I12" i="323"/>
  <c r="J12" i="323"/>
  <c r="I11" i="323"/>
  <c r="J11" i="323"/>
  <c r="I10" i="323"/>
  <c r="J10" i="323" s="1"/>
  <c r="I9" i="323"/>
  <c r="J9" i="323" s="1"/>
  <c r="I8" i="323"/>
  <c r="J8" i="323" s="1"/>
  <c r="I7" i="323"/>
  <c r="J7" i="323" s="1"/>
  <c r="K3" i="323"/>
  <c r="J3" i="323"/>
  <c r="I3" i="323"/>
  <c r="H3" i="323"/>
  <c r="G3" i="323"/>
  <c r="F3" i="323"/>
  <c r="E3" i="323"/>
  <c r="D3" i="323"/>
  <c r="C3" i="323"/>
  <c r="A342" i="323"/>
  <c r="W170" i="323"/>
  <c r="W338" i="323"/>
  <c r="V170" i="323"/>
  <c r="V338" i="323"/>
  <c r="V340" i="323"/>
  <c r="U170" i="323"/>
  <c r="U338" i="323"/>
  <c r="U340" i="323"/>
  <c r="T170" i="323"/>
  <c r="T338" i="323"/>
  <c r="S170" i="323"/>
  <c r="S338" i="323"/>
  <c r="S340" i="323"/>
  <c r="R170" i="323"/>
  <c r="R338" i="323"/>
  <c r="Q170" i="323"/>
  <c r="Q338" i="323"/>
  <c r="Q340" i="323"/>
  <c r="P170" i="323"/>
  <c r="P338" i="323"/>
  <c r="O170" i="323"/>
  <c r="O338" i="323"/>
  <c r="N170" i="323"/>
  <c r="N338" i="323"/>
  <c r="N340" i="323"/>
  <c r="M170" i="323"/>
  <c r="M338" i="323"/>
  <c r="M340" i="323"/>
  <c r="L170" i="323"/>
  <c r="L338" i="323"/>
  <c r="A341" i="323"/>
  <c r="W3" i="323"/>
  <c r="V3" i="323"/>
  <c r="U3" i="323"/>
  <c r="T3" i="323"/>
  <c r="S3" i="323"/>
  <c r="R3" i="323"/>
  <c r="Q3" i="323"/>
  <c r="P3" i="323"/>
  <c r="O3" i="323"/>
  <c r="N3" i="323"/>
  <c r="M3" i="323"/>
  <c r="L3" i="323"/>
  <c r="L2" i="323"/>
  <c r="B2" i="323"/>
  <c r="A2" i="323"/>
  <c r="B106" i="100"/>
  <c r="A101" i="172"/>
  <c r="K13" i="272"/>
  <c r="F6" i="272"/>
  <c r="D12" i="272"/>
  <c r="G28" i="272"/>
  <c r="G30" i="272"/>
  <c r="I30" i="272"/>
  <c r="J30" i="272"/>
  <c r="G31" i="272"/>
  <c r="G32" i="272"/>
  <c r="I32" i="272"/>
  <c r="J32" i="272"/>
  <c r="H32" i="272"/>
  <c r="K30" i="272"/>
  <c r="K32" i="272"/>
  <c r="E24" i="272"/>
  <c r="E28" i="272"/>
  <c r="E30" i="272"/>
  <c r="D24" i="272"/>
  <c r="D25" i="272"/>
  <c r="D26" i="272"/>
  <c r="D27" i="272"/>
  <c r="D30" i="272"/>
  <c r="C24" i="272"/>
  <c r="C32" i="272"/>
  <c r="C31" i="272"/>
  <c r="C30" i="272"/>
  <c r="C29" i="272"/>
  <c r="C26" i="272"/>
  <c r="C12" i="272"/>
  <c r="E78" i="100"/>
  <c r="B78" i="100"/>
  <c r="C3" i="272"/>
  <c r="A2" i="272"/>
  <c r="B2" i="272"/>
  <c r="F3" i="272"/>
  <c r="E3" i="272"/>
  <c r="D3" i="272"/>
  <c r="K3" i="272"/>
  <c r="J3" i="272"/>
  <c r="I3" i="272"/>
  <c r="H3" i="272"/>
  <c r="G3" i="272"/>
  <c r="A40" i="272"/>
  <c r="A41" i="272"/>
  <c r="E80" i="100"/>
  <c r="B80" i="100"/>
  <c r="E53" i="182"/>
  <c r="A53" i="182"/>
  <c r="I43" i="182"/>
  <c r="J43" i="182"/>
  <c r="I35" i="182"/>
  <c r="J35" i="182" s="1"/>
  <c r="I34" i="182"/>
  <c r="J34" i="182" s="1"/>
  <c r="I32" i="182"/>
  <c r="J32" i="182" s="1"/>
  <c r="I31" i="182"/>
  <c r="J31" i="182" s="1"/>
  <c r="I28" i="182"/>
  <c r="J28" i="182" s="1"/>
  <c r="I26" i="182"/>
  <c r="J26" i="182" s="1"/>
  <c r="I25" i="182"/>
  <c r="J25" i="182" s="1"/>
  <c r="I21" i="182"/>
  <c r="J21" i="182"/>
  <c r="I20" i="182"/>
  <c r="J20" i="182" s="1"/>
  <c r="I18" i="182"/>
  <c r="J18" i="182" s="1"/>
  <c r="I17" i="182"/>
  <c r="J17" i="182" s="1"/>
  <c r="I16" i="182"/>
  <c r="J16" i="182" s="1"/>
  <c r="I15" i="182"/>
  <c r="J15" i="182" s="1"/>
  <c r="I12" i="182"/>
  <c r="J12" i="182" s="1"/>
  <c r="A49" i="182"/>
  <c r="K3" i="182"/>
  <c r="J3" i="182"/>
  <c r="I3" i="182"/>
  <c r="H3" i="182"/>
  <c r="G3" i="182"/>
  <c r="F3" i="182"/>
  <c r="E3" i="182"/>
  <c r="D3" i="182"/>
  <c r="C3" i="182"/>
  <c r="B2" i="182"/>
  <c r="A2" i="182"/>
  <c r="A317" i="324"/>
  <c r="W313" i="324"/>
  <c r="V313" i="324"/>
  <c r="U313" i="324"/>
  <c r="T313" i="324"/>
  <c r="S313" i="324"/>
  <c r="R313" i="324"/>
  <c r="Q313" i="324"/>
  <c r="P313" i="324"/>
  <c r="O313" i="324"/>
  <c r="N313" i="324"/>
  <c r="M313" i="324"/>
  <c r="L313" i="324"/>
  <c r="I315" i="324"/>
  <c r="J315" i="324"/>
  <c r="I313" i="324"/>
  <c r="J313" i="324"/>
  <c r="I312" i="324"/>
  <c r="J312" i="324"/>
  <c r="I311" i="324"/>
  <c r="J311" i="324"/>
  <c r="I310" i="324"/>
  <c r="J310" i="324"/>
  <c r="I309" i="324"/>
  <c r="J309" i="324"/>
  <c r="I308" i="324"/>
  <c r="J308" i="324"/>
  <c r="I307" i="324"/>
  <c r="J307" i="324"/>
  <c r="I306" i="324"/>
  <c r="J306" i="324"/>
  <c r="I305" i="324"/>
  <c r="J305" i="324"/>
  <c r="I304" i="324"/>
  <c r="J304" i="324"/>
  <c r="I302" i="324"/>
  <c r="J302" i="324"/>
  <c r="I301" i="324"/>
  <c r="J301" i="324"/>
  <c r="I300" i="324"/>
  <c r="J300" i="324"/>
  <c r="I299" i="324"/>
  <c r="J299" i="324"/>
  <c r="I298" i="324"/>
  <c r="J298" i="324"/>
  <c r="I297" i="324"/>
  <c r="J297" i="324"/>
  <c r="I296" i="324"/>
  <c r="J296" i="324"/>
  <c r="I295" i="324"/>
  <c r="J295" i="324"/>
  <c r="I294" i="324"/>
  <c r="J294" i="324"/>
  <c r="I293" i="324"/>
  <c r="J293" i="324"/>
  <c r="I291" i="324"/>
  <c r="J291" i="324"/>
  <c r="I290" i="324"/>
  <c r="J290" i="324"/>
  <c r="I289" i="324"/>
  <c r="J289" i="324"/>
  <c r="I288" i="324"/>
  <c r="J288" i="324"/>
  <c r="I287" i="324"/>
  <c r="J287" i="324"/>
  <c r="I286" i="324"/>
  <c r="J286" i="324"/>
  <c r="I285" i="324"/>
  <c r="J285" i="324"/>
  <c r="I284" i="324"/>
  <c r="J284" i="324"/>
  <c r="I283" i="324"/>
  <c r="J283" i="324"/>
  <c r="I282" i="324"/>
  <c r="J282" i="324"/>
  <c r="I280" i="324"/>
  <c r="J280" i="324"/>
  <c r="I279" i="324"/>
  <c r="J279" i="324"/>
  <c r="I278" i="324"/>
  <c r="J278" i="324"/>
  <c r="I277" i="324"/>
  <c r="J277" i="324"/>
  <c r="I276" i="324"/>
  <c r="J276" i="324"/>
  <c r="I275" i="324"/>
  <c r="J275" i="324"/>
  <c r="I274" i="324"/>
  <c r="J274" i="324"/>
  <c r="I273" i="324"/>
  <c r="J273" i="324"/>
  <c r="I272" i="324"/>
  <c r="J272" i="324"/>
  <c r="I271" i="324"/>
  <c r="J271" i="324"/>
  <c r="I269" i="324"/>
  <c r="J269" i="324"/>
  <c r="I268" i="324"/>
  <c r="J268" i="324"/>
  <c r="I267" i="324"/>
  <c r="J267" i="324"/>
  <c r="I266" i="324"/>
  <c r="J266" i="324"/>
  <c r="I265" i="324"/>
  <c r="J265" i="324"/>
  <c r="I264" i="324"/>
  <c r="J264" i="324"/>
  <c r="I263" i="324"/>
  <c r="J263" i="324"/>
  <c r="I262" i="324"/>
  <c r="J262" i="324"/>
  <c r="I261" i="324"/>
  <c r="J261" i="324"/>
  <c r="I260" i="324"/>
  <c r="J260" i="324"/>
  <c r="I258" i="324"/>
  <c r="J258" i="324"/>
  <c r="I257" i="324"/>
  <c r="J257" i="324"/>
  <c r="I256" i="324"/>
  <c r="J256" i="324"/>
  <c r="I255" i="324"/>
  <c r="J255" i="324"/>
  <c r="I254" i="324"/>
  <c r="J254" i="324"/>
  <c r="I253" i="324"/>
  <c r="J253" i="324"/>
  <c r="I252" i="324"/>
  <c r="J252" i="324"/>
  <c r="I251" i="324"/>
  <c r="J251" i="324"/>
  <c r="I250" i="324"/>
  <c r="J250" i="324"/>
  <c r="I249" i="324"/>
  <c r="J249" i="324"/>
  <c r="I247" i="324"/>
  <c r="J247" i="324"/>
  <c r="I246" i="324"/>
  <c r="J246" i="324"/>
  <c r="I245" i="324"/>
  <c r="J245" i="324"/>
  <c r="I244" i="324"/>
  <c r="J244" i="324"/>
  <c r="I243" i="324"/>
  <c r="J243" i="324"/>
  <c r="I242" i="324"/>
  <c r="J242" i="324"/>
  <c r="I241" i="324"/>
  <c r="J241" i="324"/>
  <c r="I240" i="324"/>
  <c r="J240" i="324"/>
  <c r="I239" i="324"/>
  <c r="J239" i="324"/>
  <c r="I238" i="324"/>
  <c r="J238" i="324"/>
  <c r="I236" i="324"/>
  <c r="J236" i="324"/>
  <c r="I235" i="324"/>
  <c r="J235" i="324"/>
  <c r="I234" i="324"/>
  <c r="J234" i="324"/>
  <c r="I233" i="324"/>
  <c r="J233" i="324"/>
  <c r="I232" i="324"/>
  <c r="J232" i="324"/>
  <c r="I231" i="324"/>
  <c r="J231" i="324"/>
  <c r="I230" i="324"/>
  <c r="J230" i="324"/>
  <c r="I229" i="324"/>
  <c r="J229" i="324"/>
  <c r="I228" i="324"/>
  <c r="J228" i="324"/>
  <c r="I227" i="324"/>
  <c r="J227" i="324"/>
  <c r="I225" i="324"/>
  <c r="J225" i="324"/>
  <c r="I224" i="324"/>
  <c r="J224" i="324"/>
  <c r="I223" i="324"/>
  <c r="J223" i="324"/>
  <c r="I222" i="324"/>
  <c r="J222" i="324"/>
  <c r="I221" i="324"/>
  <c r="J221" i="324"/>
  <c r="I220" i="324"/>
  <c r="J220" i="324"/>
  <c r="I219" i="324"/>
  <c r="J219" i="324"/>
  <c r="I218" i="324"/>
  <c r="J218" i="324"/>
  <c r="I217" i="324"/>
  <c r="J217" i="324"/>
  <c r="I216" i="324"/>
  <c r="J216" i="324"/>
  <c r="I214" i="324"/>
  <c r="J214" i="324"/>
  <c r="I213" i="324"/>
  <c r="J213" i="324"/>
  <c r="I212" i="324"/>
  <c r="J212" i="324"/>
  <c r="I211" i="324"/>
  <c r="J211" i="324"/>
  <c r="I210" i="324"/>
  <c r="J210" i="324"/>
  <c r="I209" i="324"/>
  <c r="J209" i="324" s="1"/>
  <c r="I208" i="324"/>
  <c r="J208" i="324" s="1"/>
  <c r="I207" i="324"/>
  <c r="J207" i="324" s="1"/>
  <c r="I206" i="324"/>
  <c r="J206" i="324" s="1"/>
  <c r="I205" i="324"/>
  <c r="J205" i="324" s="1"/>
  <c r="I203" i="324"/>
  <c r="J203" i="324"/>
  <c r="I202" i="324"/>
  <c r="J202" i="324"/>
  <c r="I201" i="324"/>
  <c r="J201" i="324"/>
  <c r="I200" i="324"/>
  <c r="J200" i="324"/>
  <c r="I199" i="324"/>
  <c r="J199" i="324"/>
  <c r="I198" i="324"/>
  <c r="J198" i="324" s="1"/>
  <c r="I197" i="324"/>
  <c r="J197" i="324" s="1"/>
  <c r="I195" i="324"/>
  <c r="J195" i="324" s="1"/>
  <c r="I194" i="324"/>
  <c r="J194" i="324" s="1"/>
  <c r="I192" i="324"/>
  <c r="J192" i="324"/>
  <c r="I191" i="324"/>
  <c r="J191" i="324"/>
  <c r="I190" i="324"/>
  <c r="J190" i="324"/>
  <c r="I189" i="324"/>
  <c r="J189" i="324"/>
  <c r="I188" i="324"/>
  <c r="J188" i="324"/>
  <c r="I187" i="324"/>
  <c r="J187" i="324" s="1"/>
  <c r="I186" i="324"/>
  <c r="J186" i="324" s="1"/>
  <c r="I185" i="324"/>
  <c r="J185" i="324" s="1"/>
  <c r="I184" i="324"/>
  <c r="J184" i="324" s="1"/>
  <c r="I183" i="324"/>
  <c r="J183" i="324" s="1"/>
  <c r="I181" i="324"/>
  <c r="J181" i="324"/>
  <c r="I180" i="324"/>
  <c r="J180" i="324"/>
  <c r="I179" i="324"/>
  <c r="J179" i="324"/>
  <c r="I178" i="324"/>
  <c r="J178" i="324"/>
  <c r="I177" i="324"/>
  <c r="J177" i="324"/>
  <c r="I176" i="324"/>
  <c r="J176" i="324"/>
  <c r="I175" i="324"/>
  <c r="J175" i="324" s="1"/>
  <c r="I174" i="324"/>
  <c r="J174" i="324" s="1"/>
  <c r="I173" i="324"/>
  <c r="J173" i="324" s="1"/>
  <c r="I170" i="324"/>
  <c r="J170" i="324"/>
  <c r="I169" i="324"/>
  <c r="J169" i="324"/>
  <c r="I168" i="324"/>
  <c r="J168" i="324"/>
  <c r="I167" i="324"/>
  <c r="J167" i="324"/>
  <c r="I166" i="324"/>
  <c r="J166" i="324"/>
  <c r="I165" i="324"/>
  <c r="J165" i="324" s="1"/>
  <c r="I164" i="324"/>
  <c r="J164" i="324" s="1"/>
  <c r="I163" i="324"/>
  <c r="J163" i="324" s="1"/>
  <c r="I162" i="324"/>
  <c r="J162" i="324" s="1"/>
  <c r="I161" i="324"/>
  <c r="J161" i="324" s="1"/>
  <c r="I159" i="324"/>
  <c r="J159" i="324"/>
  <c r="I158" i="324"/>
  <c r="J158" i="324"/>
  <c r="I157" i="324"/>
  <c r="J157" i="324"/>
  <c r="I156" i="324"/>
  <c r="J156" i="324"/>
  <c r="I155" i="324"/>
  <c r="J155" i="324"/>
  <c r="I154" i="324"/>
  <c r="J154" i="324"/>
  <c r="I153" i="324"/>
  <c r="J153" i="324" s="1"/>
  <c r="I152" i="324"/>
  <c r="J152" i="324" s="1"/>
  <c r="I151" i="324"/>
  <c r="J151" i="324" s="1"/>
  <c r="I150" i="324"/>
  <c r="J150" i="324" s="1"/>
  <c r="I148" i="324"/>
  <c r="J148" i="324"/>
  <c r="I146" i="324"/>
  <c r="J146" i="324"/>
  <c r="I40" i="324"/>
  <c r="J40" i="324" s="1"/>
  <c r="I37" i="324"/>
  <c r="J37" i="324" s="1"/>
  <c r="I31" i="324"/>
  <c r="J31" i="324" s="1"/>
  <c r="I17" i="324"/>
  <c r="J17" i="324" s="1"/>
  <c r="I8" i="324"/>
  <c r="J8"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G53" i="268"/>
  <c r="F43" i="268"/>
  <c r="F47" i="268"/>
  <c r="F53" i="268"/>
  <c r="E43" i="268"/>
  <c r="E47" i="268"/>
  <c r="E53" i="268"/>
  <c r="D43" i="268"/>
  <c r="D47" i="268"/>
  <c r="D53" i="268"/>
  <c r="C43" i="268"/>
  <c r="C47" i="268"/>
  <c r="C53" i="268"/>
  <c r="I62" i="268"/>
  <c r="J62" i="268" s="1"/>
  <c r="I61" i="268"/>
  <c r="J61" i="268" s="1"/>
  <c r="I60" i="268"/>
  <c r="J60" i="268" s="1"/>
  <c r="I58" i="268"/>
  <c r="J58" i="268" s="1"/>
  <c r="I56" i="268"/>
  <c r="J56" i="268" s="1"/>
  <c r="I55" i="268"/>
  <c r="J55" i="268" s="1"/>
  <c r="I52" i="268"/>
  <c r="J52" i="268" s="1"/>
  <c r="I51" i="268"/>
  <c r="J51" i="268" s="1"/>
  <c r="I50" i="268"/>
  <c r="J50" i="268" s="1"/>
  <c r="I48" i="268"/>
  <c r="J48" i="268" s="1"/>
  <c r="I46" i="268"/>
  <c r="J46"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35" i="178"/>
  <c r="G53" i="174" s="1"/>
  <c r="F13" i="178"/>
  <c r="G52" i="174" s="1"/>
  <c r="F48" i="178"/>
  <c r="F37" i="267"/>
  <c r="C26" i="178"/>
  <c r="A49" i="178"/>
  <c r="A2" i="178"/>
  <c r="G3" i="178"/>
  <c r="F3" i="178"/>
  <c r="E3" i="178"/>
  <c r="D3" i="178"/>
  <c r="C3" i="178"/>
  <c r="B2" i="178"/>
  <c r="F40" i="178"/>
  <c r="F39" i="267" s="1"/>
  <c r="I7" i="177"/>
  <c r="J7" i="177" s="1"/>
  <c r="I10" i="177"/>
  <c r="J10" i="177" s="1"/>
  <c r="I11" i="177"/>
  <c r="J11" i="177" s="1"/>
  <c r="I12" i="177"/>
  <c r="J12" i="177" s="1"/>
  <c r="I13" i="177"/>
  <c r="J13" i="177" s="1"/>
  <c r="I15" i="177"/>
  <c r="J15" i="177" s="1"/>
  <c r="I16" i="177"/>
  <c r="J16" i="177" s="1"/>
  <c r="I17" i="177"/>
  <c r="J17" i="177" s="1"/>
  <c r="E83" i="100"/>
  <c r="B83" i="100"/>
  <c r="I32" i="177"/>
  <c r="J32" i="177"/>
  <c r="I33" i="177"/>
  <c r="J33" i="177"/>
  <c r="I34" i="177"/>
  <c r="J34" i="177"/>
  <c r="I36" i="177"/>
  <c r="J36" i="177" s="1"/>
  <c r="J35" i="177"/>
  <c r="I22" i="177"/>
  <c r="J22" i="177" s="1"/>
  <c r="I27" i="177"/>
  <c r="J27"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G8" i="180"/>
  <c r="F17" i="180"/>
  <c r="B39" i="172" s="1"/>
  <c r="F16" i="180"/>
  <c r="B38" i="172" s="1"/>
  <c r="F15" i="180"/>
  <c r="F14" i="180"/>
  <c r="H14" i="180" s="1"/>
  <c r="F13" i="180"/>
  <c r="B35" i="172" s="1"/>
  <c r="G6" i="180"/>
  <c r="C28" i="172"/>
  <c r="F6" i="180"/>
  <c r="F7" i="180" s="1"/>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c r="C3" i="180"/>
  <c r="C2" i="172"/>
  <c r="C3" i="172"/>
  <c r="B14" i="172"/>
  <c r="B13" i="172"/>
  <c r="B12" i="172"/>
  <c r="B11" i="172"/>
  <c r="B10" i="172"/>
  <c r="B9" i="172"/>
  <c r="B8" i="172"/>
  <c r="B7" i="172"/>
  <c r="B6" i="172"/>
  <c r="B5" i="172"/>
  <c r="B4" i="172"/>
  <c r="B3" i="172"/>
  <c r="K20" i="175"/>
  <c r="C81" i="172" s="1"/>
  <c r="B81" i="172" s="1"/>
  <c r="K18" i="175"/>
  <c r="K17" i="175"/>
  <c r="C78" i="172" s="1"/>
  <c r="B78" i="172" s="1"/>
  <c r="I54" i="172"/>
  <c r="H54" i="172"/>
  <c r="G54" i="172"/>
  <c r="F54" i="172"/>
  <c r="E54" i="172"/>
  <c r="D54" i="172"/>
  <c r="C54" i="172"/>
  <c r="B54" i="172"/>
  <c r="B53" i="172"/>
  <c r="B15" i="251"/>
  <c r="B10" i="251"/>
  <c r="B5" i="251"/>
  <c r="A41" i="251"/>
  <c r="B2" i="251"/>
  <c r="A2" i="251"/>
  <c r="E93" i="100"/>
  <c r="A5" i="181"/>
  <c r="G36" i="181"/>
  <c r="I43" i="181"/>
  <c r="J43" i="181" s="1"/>
  <c r="I41" i="181"/>
  <c r="J41" i="181" s="1"/>
  <c r="I40" i="181"/>
  <c r="J40" i="181" s="1"/>
  <c r="I39" i="181"/>
  <c r="J39" i="181" s="1"/>
  <c r="I35" i="181"/>
  <c r="J35" i="181" s="1"/>
  <c r="I34" i="181"/>
  <c r="J34" i="181" s="1"/>
  <c r="I32" i="181"/>
  <c r="J32" i="181" s="1"/>
  <c r="I31" i="181"/>
  <c r="J31" i="181" s="1"/>
  <c r="I30" i="181"/>
  <c r="J30" i="181" s="1"/>
  <c r="I28" i="181"/>
  <c r="J28" i="181" s="1"/>
  <c r="I27" i="181"/>
  <c r="J27" i="181" s="1"/>
  <c r="I26" i="181"/>
  <c r="J26" i="181" s="1"/>
  <c r="I21" i="181"/>
  <c r="J21" i="181" s="1"/>
  <c r="I20" i="181"/>
  <c r="J20" i="181" s="1"/>
  <c r="I19" i="181"/>
  <c r="J19" i="181" s="1"/>
  <c r="I18" i="181"/>
  <c r="J18" i="181" s="1"/>
  <c r="I17" i="181"/>
  <c r="J17" i="181" s="1"/>
  <c r="I15" i="181"/>
  <c r="J15" i="181" s="1"/>
  <c r="I13" i="181"/>
  <c r="J13" i="181" s="1"/>
  <c r="I9" i="181"/>
  <c r="J9" i="181" s="1"/>
  <c r="I8" i="181"/>
  <c r="J8" i="181" s="1"/>
  <c r="I7" i="181"/>
  <c r="J7" i="181" s="1"/>
  <c r="I6" i="181"/>
  <c r="J6" i="181" s="1"/>
  <c r="K36" i="181"/>
  <c r="K38" i="181" s="1"/>
  <c r="K42" i="181" s="1"/>
  <c r="K44" i="181" s="1"/>
  <c r="F36" i="181"/>
  <c r="E36" i="181"/>
  <c r="E38" i="181"/>
  <c r="E42" i="181" s="1"/>
  <c r="E44" i="181" s="1"/>
  <c r="D36" i="181"/>
  <c r="C36" i="181"/>
  <c r="C38" i="181" s="1"/>
  <c r="C42" i="181" s="1"/>
  <c r="C44" i="181" s="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H31" i="183"/>
  <c r="G43" i="183"/>
  <c r="I43" i="183"/>
  <c r="J43" i="183"/>
  <c r="H43" i="183"/>
  <c r="J42" i="183"/>
  <c r="I41" i="183"/>
  <c r="J41" i="183"/>
  <c r="I40" i="183"/>
  <c r="J40" i="183"/>
  <c r="I39" i="183"/>
  <c r="J39" i="183"/>
  <c r="I38" i="183"/>
  <c r="J38" i="183"/>
  <c r="I37" i="183"/>
  <c r="J37" i="183"/>
  <c r="I36" i="183"/>
  <c r="J36" i="183"/>
  <c r="I35" i="183"/>
  <c r="J35" i="183"/>
  <c r="I34" i="183"/>
  <c r="J34" i="183"/>
  <c r="I33" i="183"/>
  <c r="J33" i="183"/>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c r="I14" i="183"/>
  <c r="J14" i="183"/>
  <c r="I13" i="183"/>
  <c r="J13" i="183"/>
  <c r="I12" i="183"/>
  <c r="J12" i="183"/>
  <c r="I11" i="183"/>
  <c r="J11" i="183"/>
  <c r="I10" i="183"/>
  <c r="J10" i="183"/>
  <c r="I9" i="183"/>
  <c r="J9" i="183"/>
  <c r="I8" i="183"/>
  <c r="J8" i="183"/>
  <c r="I7" i="183"/>
  <c r="J7" i="183"/>
  <c r="I6" i="183"/>
  <c r="J6" i="183"/>
  <c r="A44" i="183"/>
  <c r="K3" i="183"/>
  <c r="J3" i="183"/>
  <c r="I3" i="183"/>
  <c r="H3" i="183"/>
  <c r="G3" i="183"/>
  <c r="F3" i="183"/>
  <c r="E3" i="183"/>
  <c r="D3" i="183"/>
  <c r="C3" i="183"/>
  <c r="B2" i="183"/>
  <c r="A2" i="183"/>
  <c r="C16" i="183"/>
  <c r="D16" i="183"/>
  <c r="E16" i="183"/>
  <c r="F16" i="183"/>
  <c r="K16" i="183"/>
  <c r="C29" i="183"/>
  <c r="D29" i="183"/>
  <c r="E29" i="183"/>
  <c r="F29" i="183"/>
  <c r="K29" i="183"/>
  <c r="K31" i="183"/>
  <c r="A31" i="183"/>
  <c r="C43" i="183"/>
  <c r="D43" i="183"/>
  <c r="E43" i="183"/>
  <c r="F43" i="183"/>
  <c r="K43" i="183"/>
  <c r="E95" i="100"/>
  <c r="E18" i="180"/>
  <c r="D18" i="180"/>
  <c r="C18" i="180"/>
  <c r="I3" i="180"/>
  <c r="H3" i="180"/>
  <c r="B3" i="180"/>
  <c r="B18" i="180"/>
  <c r="I136" i="242"/>
  <c r="J136" i="242"/>
  <c r="J134" i="242"/>
  <c r="J137" i="242"/>
  <c r="I107" i="242"/>
  <c r="J107" i="242"/>
  <c r="I108" i="242"/>
  <c r="J108" i="242" s="1"/>
  <c r="I109" i="242"/>
  <c r="J109" i="242" s="1"/>
  <c r="I101" i="242"/>
  <c r="J101" i="242" s="1"/>
  <c r="I11" i="242"/>
  <c r="J11" i="242" s="1"/>
  <c r="I12" i="242"/>
  <c r="J12" i="242" s="1"/>
  <c r="I14" i="242"/>
  <c r="J14" i="242"/>
  <c r="I15" i="242"/>
  <c r="J15" i="242" s="1"/>
  <c r="I16" i="242"/>
  <c r="J16" i="242" s="1"/>
  <c r="I28" i="242"/>
  <c r="J28" i="242" s="1"/>
  <c r="I37" i="242"/>
  <c r="J37" i="242" s="1"/>
  <c r="I70" i="242"/>
  <c r="J70" i="242" s="1"/>
  <c r="I71" i="242"/>
  <c r="J71" i="242"/>
  <c r="I72" i="242"/>
  <c r="J72" i="242" s="1"/>
  <c r="I73" i="242"/>
  <c r="J73" i="242" s="1"/>
  <c r="J74" i="242"/>
  <c r="I149" i="242"/>
  <c r="J149" i="242" s="1"/>
  <c r="I146" i="242"/>
  <c r="J146" i="242"/>
  <c r="I139" i="242"/>
  <c r="J139" i="242"/>
  <c r="I133" i="242"/>
  <c r="J133" i="242" s="1"/>
  <c r="I132" i="242"/>
  <c r="J132" i="242" s="1"/>
  <c r="I131" i="242"/>
  <c r="J131" i="242" s="1"/>
  <c r="I129" i="242"/>
  <c r="J129" i="242" s="1"/>
  <c r="I128" i="242"/>
  <c r="J128" i="242" s="1"/>
  <c r="I127" i="242"/>
  <c r="J127" i="242" s="1"/>
  <c r="I126" i="242"/>
  <c r="J126" i="242" s="1"/>
  <c r="I125" i="242"/>
  <c r="J125" i="242" s="1"/>
  <c r="I124" i="242"/>
  <c r="J124" i="242" s="1"/>
  <c r="I123" i="242"/>
  <c r="J123" i="242" s="1"/>
  <c r="I119" i="242"/>
  <c r="J119" i="242" s="1"/>
  <c r="I102" i="242"/>
  <c r="J102" i="242" s="1"/>
  <c r="I100" i="242"/>
  <c r="J100" i="242" s="1"/>
  <c r="I98" i="242"/>
  <c r="J98" i="242" s="1"/>
  <c r="I97" i="242"/>
  <c r="J97" i="242" s="1"/>
  <c r="I95" i="242"/>
  <c r="J95" i="242" s="1"/>
  <c r="I94" i="242"/>
  <c r="J94" i="242" s="1"/>
  <c r="I93" i="242"/>
  <c r="J93" i="242" s="1"/>
  <c r="I91" i="242"/>
  <c r="J91" i="242" s="1"/>
  <c r="I90" i="242"/>
  <c r="J90" i="242" s="1"/>
  <c r="I89" i="242"/>
  <c r="J89"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7" i="174" s="1"/>
  <c r="F44" i="174"/>
  <c r="F55" i="174"/>
  <c r="F27" i="174" s="1"/>
  <c r="E42" i="174"/>
  <c r="E44" i="174"/>
  <c r="H40" i="174"/>
  <c r="G40" i="174"/>
  <c r="F40" i="174"/>
  <c r="E40" i="174"/>
  <c r="D42" i="174"/>
  <c r="D7" i="174" s="1"/>
  <c r="D44" i="174"/>
  <c r="D27" i="174"/>
  <c r="D40" i="174"/>
  <c r="D26" i="174"/>
  <c r="H63" i="174"/>
  <c r="H18" i="174"/>
  <c r="G63" i="174"/>
  <c r="G18" i="174" s="1"/>
  <c r="F63" i="174"/>
  <c r="F18" i="174"/>
  <c r="E63" i="174"/>
  <c r="E18" i="174"/>
  <c r="H59" i="174"/>
  <c r="G59" i="174"/>
  <c r="F59" i="174"/>
  <c r="E59" i="174"/>
  <c r="D63" i="174"/>
  <c r="D18" i="174" s="1"/>
  <c r="D59" i="174"/>
  <c r="D17" i="174" s="1"/>
  <c r="E53" i="174"/>
  <c r="D53" i="174"/>
  <c r="D14" i="174" s="1"/>
  <c r="F52" i="174"/>
  <c r="D52" i="174"/>
  <c r="H51" i="174"/>
  <c r="H50" i="174"/>
  <c r="G51" i="174"/>
  <c r="G50" i="174"/>
  <c r="F51" i="174"/>
  <c r="F50" i="174"/>
  <c r="F11" i="174" s="1"/>
  <c r="E51" i="174"/>
  <c r="E50" i="174"/>
  <c r="D51" i="174"/>
  <c r="D50" i="174"/>
  <c r="H48" i="174"/>
  <c r="G48" i="174"/>
  <c r="F48" i="174"/>
  <c r="F49" i="174"/>
  <c r="E48" i="174"/>
  <c r="D48" i="174"/>
  <c r="D10" i="174" s="1"/>
  <c r="D49" i="174"/>
  <c r="H47" i="174"/>
  <c r="G47" i="174"/>
  <c r="F47" i="174"/>
  <c r="E47" i="174"/>
  <c r="D47"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I26" i="175" s="1"/>
  <c r="I27" i="175" s="1"/>
  <c r="H21" i="175"/>
  <c r="G21" i="175"/>
  <c r="F21" i="175"/>
  <c r="E21" i="175"/>
  <c r="D21" i="175"/>
  <c r="C21" i="175"/>
  <c r="C26" i="175" s="1"/>
  <c r="C27" i="175" s="1"/>
  <c r="A2" i="175"/>
  <c r="M14" i="175"/>
  <c r="M21" i="175"/>
  <c r="L15" i="173"/>
  <c r="A2" i="173"/>
  <c r="C36" i="270"/>
  <c r="C57" i="270"/>
  <c r="I60" i="270"/>
  <c r="J60" i="270"/>
  <c r="G45" i="270"/>
  <c r="F45" i="270"/>
  <c r="E45" i="270"/>
  <c r="D45" i="270"/>
  <c r="K59" i="270"/>
  <c r="G59" i="270"/>
  <c r="H59" i="270"/>
  <c r="F59" i="270"/>
  <c r="E59" i="270"/>
  <c r="D59" i="270"/>
  <c r="I58" i="270"/>
  <c r="J58" i="270"/>
  <c r="K57" i="270"/>
  <c r="G57" i="270"/>
  <c r="H57" i="270"/>
  <c r="F57" i="270"/>
  <c r="E57" i="270"/>
  <c r="D57" i="270"/>
  <c r="K36" i="270"/>
  <c r="G36" i="270"/>
  <c r="F36" i="270"/>
  <c r="E36" i="270"/>
  <c r="D36" i="270"/>
  <c r="G29" i="270"/>
  <c r="H29" i="270"/>
  <c r="I30" i="270"/>
  <c r="J30" i="270"/>
  <c r="G31" i="270"/>
  <c r="H31" i="270"/>
  <c r="I32" i="270"/>
  <c r="J32" i="270"/>
  <c r="K8" i="270"/>
  <c r="K17" i="270"/>
  <c r="K29" i="270"/>
  <c r="K31" i="270"/>
  <c r="G8" i="270"/>
  <c r="G17" i="270"/>
  <c r="F8" i="270"/>
  <c r="F17" i="270"/>
  <c r="F29" i="270"/>
  <c r="F31" i="270"/>
  <c r="E8" i="270"/>
  <c r="E17" i="270"/>
  <c r="E29" i="270"/>
  <c r="E31" i="270"/>
  <c r="D8" i="270"/>
  <c r="D17" i="270"/>
  <c r="D29" i="270"/>
  <c r="D31" i="270"/>
  <c r="C8" i="270"/>
  <c r="C17" i="270"/>
  <c r="C29" i="270"/>
  <c r="A59" i="270"/>
  <c r="A44" i="334"/>
  <c r="A57" i="270"/>
  <c r="A41" i="334"/>
  <c r="A38" i="334"/>
  <c r="A36" i="270"/>
  <c r="A36" i="269"/>
  <c r="I56" i="270"/>
  <c r="J56" i="270" s="1"/>
  <c r="I16" i="270"/>
  <c r="J16" i="270" s="1"/>
  <c r="K3" i="270"/>
  <c r="J3" i="270"/>
  <c r="I3" i="270"/>
  <c r="H3" i="270"/>
  <c r="G3" i="270"/>
  <c r="F3" i="270"/>
  <c r="E3" i="270"/>
  <c r="D3" i="270"/>
  <c r="C3" i="270"/>
  <c r="B2" i="270"/>
  <c r="A2" i="270"/>
  <c r="A64" i="270"/>
  <c r="I61" i="269"/>
  <c r="J61" i="269"/>
  <c r="K60" i="269"/>
  <c r="G60" i="269"/>
  <c r="H60" i="269"/>
  <c r="F60" i="269"/>
  <c r="E60" i="269"/>
  <c r="D60" i="269"/>
  <c r="C60" i="269"/>
  <c r="I59" i="269"/>
  <c r="J59" i="269"/>
  <c r="K58" i="269"/>
  <c r="G58" i="269"/>
  <c r="H58" i="269"/>
  <c r="F58" i="269"/>
  <c r="E58" i="269"/>
  <c r="D58" i="269"/>
  <c r="C58" i="269"/>
  <c r="I57" i="269"/>
  <c r="J57" i="269" s="1"/>
  <c r="I46" i="269"/>
  <c r="J46" i="269" s="1"/>
  <c r="G45" i="269"/>
  <c r="F45" i="269"/>
  <c r="E45" i="269"/>
  <c r="D45" i="269"/>
  <c r="C45" i="269"/>
  <c r="K36" i="269"/>
  <c r="G36" i="269"/>
  <c r="F36" i="269"/>
  <c r="E36" i="269"/>
  <c r="D36" i="269"/>
  <c r="C36" i="269"/>
  <c r="K8" i="269"/>
  <c r="K17" i="269"/>
  <c r="K29" i="269"/>
  <c r="K31" i="269"/>
  <c r="I9" i="269"/>
  <c r="J9" i="269" s="1"/>
  <c r="G29" i="269"/>
  <c r="H29" i="269"/>
  <c r="G31" i="269"/>
  <c r="H31" i="269"/>
  <c r="G8" i="269"/>
  <c r="G17" i="269"/>
  <c r="F8" i="269"/>
  <c r="F17" i="269"/>
  <c r="F29" i="269"/>
  <c r="F31" i="269"/>
  <c r="E8" i="269"/>
  <c r="E17" i="269"/>
  <c r="E31" i="269"/>
  <c r="D8" i="269"/>
  <c r="D17" i="269"/>
  <c r="D29" i="269"/>
  <c r="D31" i="269"/>
  <c r="C8" i="269"/>
  <c r="C17" i="269"/>
  <c r="C29" i="269"/>
  <c r="C31" i="269"/>
  <c r="I32" i="269"/>
  <c r="J32" i="269"/>
  <c r="I30" i="269"/>
  <c r="J30" i="269"/>
  <c r="A32" i="269"/>
  <c r="A31" i="269"/>
  <c r="A30" i="269"/>
  <c r="A29" i="269"/>
  <c r="A17" i="269"/>
  <c r="A8" i="269"/>
  <c r="K3" i="269"/>
  <c r="J3" i="269"/>
  <c r="I3" i="269"/>
  <c r="H3" i="269"/>
  <c r="G3" i="269"/>
  <c r="F3" i="269"/>
  <c r="E3" i="269"/>
  <c r="D3" i="269"/>
  <c r="C3" i="269"/>
  <c r="B2" i="269"/>
  <c r="A2" i="269"/>
  <c r="A65" i="269"/>
  <c r="H30" i="318"/>
  <c r="H83" i="318"/>
  <c r="G30" i="318"/>
  <c r="G46" i="318"/>
  <c r="G83" i="318"/>
  <c r="G99" i="318"/>
  <c r="F30" i="318"/>
  <c r="F46" i="318"/>
  <c r="F83" i="318"/>
  <c r="F99" i="318"/>
  <c r="G14" i="318"/>
  <c r="G67" i="318"/>
  <c r="I67" i="318" s="1"/>
  <c r="J67" i="318" s="1"/>
  <c r="H67" i="318"/>
  <c r="K14" i="318"/>
  <c r="K15" i="318" s="1"/>
  <c r="K30" i="318"/>
  <c r="K46" i="318"/>
  <c r="K67" i="318"/>
  <c r="E14" i="318"/>
  <c r="E30" i="318"/>
  <c r="E46" i="318"/>
  <c r="E67" i="318"/>
  <c r="E68" i="318"/>
  <c r="E83" i="318"/>
  <c r="E84" i="318" s="1"/>
  <c r="E99" i="318"/>
  <c r="D14" i="318"/>
  <c r="D15" i="318"/>
  <c r="D30" i="318"/>
  <c r="D46" i="318"/>
  <c r="D67" i="318"/>
  <c r="D68" i="318"/>
  <c r="D83" i="318"/>
  <c r="D99" i="318"/>
  <c r="D100" i="318" s="1"/>
  <c r="C83" i="318"/>
  <c r="C14" i="318"/>
  <c r="I98" i="318"/>
  <c r="J98" i="318"/>
  <c r="I97" i="318"/>
  <c r="J97" i="318" s="1"/>
  <c r="I96" i="318"/>
  <c r="J96" i="318" s="1"/>
  <c r="I95" i="318"/>
  <c r="J95" i="318" s="1"/>
  <c r="I94" i="318"/>
  <c r="J94" i="318" s="1"/>
  <c r="I93" i="318"/>
  <c r="J93" i="318" s="1"/>
  <c r="I87" i="318"/>
  <c r="J87" i="318" s="1"/>
  <c r="I82" i="318"/>
  <c r="J82" i="318" s="1"/>
  <c r="I81" i="318"/>
  <c r="J81" i="318"/>
  <c r="I80" i="318"/>
  <c r="J80" i="318" s="1"/>
  <c r="I79" i="318"/>
  <c r="J79" i="318" s="1"/>
  <c r="I74" i="318"/>
  <c r="J74" i="318" s="1"/>
  <c r="I73" i="318"/>
  <c r="J73" i="318" s="1"/>
  <c r="I72" i="318"/>
  <c r="J72" i="318" s="1"/>
  <c r="I71" i="318"/>
  <c r="J71" i="318" s="1"/>
  <c r="I66" i="318"/>
  <c r="J66" i="318" s="1"/>
  <c r="I65" i="318"/>
  <c r="J65" i="318" s="1"/>
  <c r="I64" i="318"/>
  <c r="J64" i="318"/>
  <c r="I62" i="318"/>
  <c r="J62" i="318" s="1"/>
  <c r="I56" i="318"/>
  <c r="J56" i="318" s="1"/>
  <c r="I55" i="318"/>
  <c r="J55" i="318" s="1"/>
  <c r="I54" i="318"/>
  <c r="J54" i="318" s="1"/>
  <c r="I29" i="318"/>
  <c r="J29" i="318" s="1"/>
  <c r="I26" i="318"/>
  <c r="J26" i="318" s="1"/>
  <c r="I20" i="318"/>
  <c r="J20" i="318" s="1"/>
  <c r="I19" i="318"/>
  <c r="J19" i="318" s="1"/>
  <c r="I18" i="318"/>
  <c r="J18" i="318" s="1"/>
  <c r="I13" i="318"/>
  <c r="J13" i="318" s="1"/>
  <c r="I9" i="318"/>
  <c r="J9" i="318" s="1"/>
  <c r="I8" i="318"/>
  <c r="J8" i="318" s="1"/>
  <c r="I7" i="318"/>
  <c r="J7" i="318" s="1"/>
  <c r="C30" i="318"/>
  <c r="D31" i="318" s="1"/>
  <c r="C46" i="318"/>
  <c r="D47" i="318" s="1"/>
  <c r="K3" i="318"/>
  <c r="J3" i="318"/>
  <c r="I3" i="318"/>
  <c r="H3" i="318"/>
  <c r="G3" i="318"/>
  <c r="F3" i="318"/>
  <c r="E3" i="318"/>
  <c r="D3" i="318"/>
  <c r="C3" i="318"/>
  <c r="B2" i="318"/>
  <c r="F14" i="318"/>
  <c r="C67" i="318"/>
  <c r="F67" i="318"/>
  <c r="C99" i="318"/>
  <c r="C102" i="318" s="1"/>
  <c r="A107" i="318"/>
  <c r="P46" i="317"/>
  <c r="P65" i="317" s="1"/>
  <c r="O65" i="317"/>
  <c r="O55" i="317"/>
  <c r="Q46" i="317"/>
  <c r="Q52" i="317" s="1"/>
  <c r="D52" i="317"/>
  <c r="D54" i="317"/>
  <c r="C52" i="317"/>
  <c r="E65" i="317"/>
  <c r="E52" i="317"/>
  <c r="F52" i="317"/>
  <c r="F54" i="317"/>
  <c r="F66" i="317"/>
  <c r="I52" i="317"/>
  <c r="J52" i="317"/>
  <c r="M52" i="317"/>
  <c r="N36" i="317"/>
  <c r="N37" i="317"/>
  <c r="N38" i="317"/>
  <c r="N39" i="317"/>
  <c r="N40" i="317"/>
  <c r="N41" i="317"/>
  <c r="N42" i="317"/>
  <c r="N43" i="317"/>
  <c r="N44" i="317"/>
  <c r="N45" i="317"/>
  <c r="N49" i="317"/>
  <c r="N50" i="317"/>
  <c r="N51" i="317"/>
  <c r="N47" i="317"/>
  <c r="N6" i="317"/>
  <c r="N8" i="317"/>
  <c r="N9" i="317"/>
  <c r="N12" i="317"/>
  <c r="N13" i="317"/>
  <c r="N14" i="317"/>
  <c r="N15" i="317"/>
  <c r="N16" i="317"/>
  <c r="N17" i="317"/>
  <c r="N18" i="317"/>
  <c r="N19" i="317"/>
  <c r="N20" i="317"/>
  <c r="N24" i="317"/>
  <c r="N25" i="317"/>
  <c r="N26" i="317"/>
  <c r="N27" i="317"/>
  <c r="N28" i="317"/>
  <c r="N29" i="317"/>
  <c r="N31" i="317"/>
  <c r="N32" i="317"/>
  <c r="N22" i="317"/>
  <c r="N23" i="317"/>
  <c r="A2" i="317"/>
  <c r="N53" i="317"/>
  <c r="N35" i="317"/>
  <c r="N34" i="317"/>
  <c r="B13" i="100"/>
  <c r="P3" i="317" s="1"/>
  <c r="B2" i="317"/>
  <c r="B46" i="317"/>
  <c r="B52" i="317"/>
  <c r="B54" i="317"/>
  <c r="A57" i="317"/>
  <c r="I24" i="267"/>
  <c r="I16" i="272"/>
  <c r="J16" i="272"/>
  <c r="F9" i="241"/>
  <c r="G15" i="241"/>
  <c r="F65" i="317"/>
  <c r="B79" i="100"/>
  <c r="B96" i="100"/>
  <c r="B97" i="100"/>
  <c r="I83" i="323"/>
  <c r="J83" i="323"/>
  <c r="A6" i="323"/>
  <c r="A28" i="323"/>
  <c r="A72" i="323"/>
  <c r="A94" i="323"/>
  <c r="A116" i="323"/>
  <c r="A262" i="323"/>
  <c r="A295" i="323"/>
  <c r="A317" i="323"/>
  <c r="A19" i="272"/>
  <c r="A17" i="272"/>
  <c r="A15" i="272"/>
  <c r="A11" i="272"/>
  <c r="A7" i="272"/>
  <c r="A36" i="272"/>
  <c r="A34" i="272"/>
  <c r="A30" i="272"/>
  <c r="A26" i="272"/>
  <c r="A281" i="324"/>
  <c r="A259" i="324"/>
  <c r="A237" i="324"/>
  <c r="A215" i="324"/>
  <c r="A193" i="324"/>
  <c r="A171" i="324"/>
  <c r="A12" i="324"/>
  <c r="A19" i="268"/>
  <c r="A17" i="268"/>
  <c r="A15" i="268"/>
  <c r="A11" i="268"/>
  <c r="A9" i="268"/>
  <c r="A7" i="268"/>
  <c r="A36" i="268"/>
  <c r="A34" i="268"/>
  <c r="A30" i="268"/>
  <c r="A26" i="268"/>
  <c r="A149" i="323"/>
  <c r="A174" i="323"/>
  <c r="A185" i="323"/>
  <c r="A273" i="323"/>
  <c r="A284" i="323"/>
  <c r="A306" i="323"/>
  <c r="A20" i="272"/>
  <c r="A16" i="272"/>
  <c r="A14" i="272"/>
  <c r="A12" i="272"/>
  <c r="A8" i="272"/>
  <c r="A24" i="272"/>
  <c r="A37" i="272"/>
  <c r="A33" i="272"/>
  <c r="A31" i="272"/>
  <c r="A29" i="272"/>
  <c r="A25" i="272"/>
  <c r="A292" i="324"/>
  <c r="A248" i="324"/>
  <c r="A226" i="324"/>
  <c r="A204" i="324"/>
  <c r="A160" i="324"/>
  <c r="A18" i="324"/>
  <c r="E31" i="318"/>
  <c r="D7" i="272"/>
  <c r="E39" i="177"/>
  <c r="E41" i="177" s="1"/>
  <c r="D46" i="267" s="1"/>
  <c r="A83" i="323"/>
  <c r="A127" i="323"/>
  <c r="A33" i="268"/>
  <c r="A29" i="268"/>
  <c r="A25" i="268"/>
  <c r="G19" i="241"/>
  <c r="B81" i="100"/>
  <c r="A31" i="268"/>
  <c r="A61" i="323"/>
  <c r="A27" i="268"/>
  <c r="A35" i="324"/>
  <c r="B4" i="100"/>
  <c r="B103" i="100"/>
  <c r="A26" i="172" s="1"/>
  <c r="F8" i="334"/>
  <c r="G9" i="334"/>
  <c r="F25" i="334"/>
  <c r="G25" i="334"/>
  <c r="F41" i="334"/>
  <c r="G45" i="334"/>
  <c r="F22" i="334"/>
  <c r="I16" i="183"/>
  <c r="J16" i="183"/>
  <c r="C28" i="272"/>
  <c r="D17" i="272"/>
  <c r="I72" i="323"/>
  <c r="J72" i="323"/>
  <c r="C31" i="183"/>
  <c r="F45" i="267"/>
  <c r="H15" i="272"/>
  <c r="I105" i="323"/>
  <c r="J105" i="323"/>
  <c r="J29" i="267"/>
  <c r="B100" i="100"/>
  <c r="K117" i="326"/>
  <c r="G110" i="335"/>
  <c r="I130" i="335"/>
  <c r="J130" i="335" s="1"/>
  <c r="H110" i="333"/>
  <c r="E117" i="333"/>
  <c r="I163" i="333"/>
  <c r="J163" i="333"/>
  <c r="E75" i="333"/>
  <c r="I69" i="333"/>
  <c r="J69" i="333"/>
  <c r="I111" i="333"/>
  <c r="J111" i="333"/>
  <c r="I63" i="333"/>
  <c r="J63" i="333"/>
  <c r="F110" i="333"/>
  <c r="I148" i="325"/>
  <c r="J148" i="325"/>
  <c r="J151" i="325"/>
  <c r="I13" i="325"/>
  <c r="J13" i="325"/>
  <c r="I160" i="325"/>
  <c r="J160" i="325"/>
  <c r="I163" i="325"/>
  <c r="J163" i="325"/>
  <c r="I69" i="325"/>
  <c r="J69" i="325"/>
  <c r="C75" i="325"/>
  <c r="I135" i="325"/>
  <c r="J135" i="325"/>
  <c r="I111" i="325"/>
  <c r="J111" i="325"/>
  <c r="C117" i="325"/>
  <c r="H110" i="325"/>
  <c r="D117" i="325"/>
  <c r="C7" i="325"/>
  <c r="C166" i="325" s="1"/>
  <c r="F110" i="325"/>
  <c r="E110" i="325"/>
  <c r="D7" i="325"/>
  <c r="I63" i="325"/>
  <c r="J63" i="325"/>
  <c r="H117" i="325"/>
  <c r="I157" i="325"/>
  <c r="J157" i="325"/>
  <c r="E7" i="325"/>
  <c r="E166" i="325" s="1"/>
  <c r="I99" i="325"/>
  <c r="J99" i="325"/>
  <c r="F110" i="326"/>
  <c r="E110" i="326"/>
  <c r="J63" i="326"/>
  <c r="I135" i="326"/>
  <c r="J135" i="326"/>
  <c r="I17" i="326"/>
  <c r="J17" i="326" s="1"/>
  <c r="I69" i="326"/>
  <c r="J69" i="326"/>
  <c r="I114" i="326"/>
  <c r="J114" i="326"/>
  <c r="I157" i="326"/>
  <c r="J157" i="326" s="1"/>
  <c r="C117" i="326"/>
  <c r="G117" i="326"/>
  <c r="I160" i="326"/>
  <c r="J160" i="326"/>
  <c r="I99" i="326"/>
  <c r="J99" i="326"/>
  <c r="H110" i="326"/>
  <c r="D117" i="326"/>
  <c r="H117" i="326"/>
  <c r="I117" i="326" s="1"/>
  <c r="J117" i="326" s="1"/>
  <c r="I148" i="326"/>
  <c r="J148" i="326"/>
  <c r="I13" i="326"/>
  <c r="J13" i="326"/>
  <c r="E7" i="326"/>
  <c r="J163" i="326"/>
  <c r="E117" i="326"/>
  <c r="J118" i="326"/>
  <c r="E75" i="326"/>
  <c r="I103" i="326"/>
  <c r="J103" i="326" s="1"/>
  <c r="I151" i="326"/>
  <c r="J151" i="326" s="1"/>
  <c r="H110" i="242"/>
  <c r="I110" i="242"/>
  <c r="J110" i="242" s="1"/>
  <c r="E110" i="242"/>
  <c r="G110" i="242"/>
  <c r="C117" i="242"/>
  <c r="I135" i="242"/>
  <c r="J135" i="242"/>
  <c r="I69" i="242"/>
  <c r="J69" i="242" s="1"/>
  <c r="K110" i="242"/>
  <c r="G117" i="242"/>
  <c r="F110" i="242"/>
  <c r="D75" i="242"/>
  <c r="I130" i="242"/>
  <c r="J130" i="242" s="1"/>
  <c r="J45" i="242"/>
  <c r="I111" i="242"/>
  <c r="J111" i="242"/>
  <c r="I63" i="242"/>
  <c r="J63" i="242" s="1"/>
  <c r="E7" i="242"/>
  <c r="I99" i="242"/>
  <c r="J99" i="242"/>
  <c r="I24" i="330"/>
  <c r="J24" i="330" s="1"/>
  <c r="I67" i="330"/>
  <c r="J67" i="330" s="1"/>
  <c r="C21" i="241"/>
  <c r="G9" i="241"/>
  <c r="I9" i="241" s="1"/>
  <c r="J9" i="241" s="1"/>
  <c r="E8" i="241"/>
  <c r="C53" i="182"/>
  <c r="D11" i="267"/>
  <c r="I53" i="242"/>
  <c r="J53" i="242"/>
  <c r="I114" i="242"/>
  <c r="J114" i="242" s="1"/>
  <c r="D36" i="241"/>
  <c r="C221" i="330"/>
  <c r="C128" i="330"/>
  <c r="C99" i="330"/>
  <c r="O52" i="317"/>
  <c r="O54" i="317" s="1"/>
  <c r="D31" i="183"/>
  <c r="E7" i="272"/>
  <c r="G8" i="334"/>
  <c r="G65" i="317"/>
  <c r="G52" i="317"/>
  <c r="F38" i="334"/>
  <c r="G38" i="334"/>
  <c r="G39" i="334"/>
  <c r="C6" i="272"/>
  <c r="C36" i="267"/>
  <c r="E52" i="174"/>
  <c r="E49" i="174"/>
  <c r="E10" i="174"/>
  <c r="G48" i="241"/>
  <c r="H35" i="272"/>
  <c r="I295" i="323"/>
  <c r="J295" i="323"/>
  <c r="H52" i="317"/>
  <c r="H54" i="317"/>
  <c r="H66" i="317"/>
  <c r="H65" i="317"/>
  <c r="D13" i="174"/>
  <c r="A20" i="268"/>
  <c r="A160" i="323"/>
  <c r="A38" i="272"/>
  <c r="A303" i="324"/>
  <c r="A38" i="268"/>
  <c r="A328" i="323"/>
  <c r="G18" i="334"/>
  <c r="G117" i="335"/>
  <c r="I118" i="335"/>
  <c r="J118" i="335"/>
  <c r="H14" i="272"/>
  <c r="D45" i="174"/>
  <c r="J36" i="267"/>
  <c r="H52" i="174"/>
  <c r="E22" i="241"/>
  <c r="A207" i="323"/>
  <c r="A23" i="324"/>
  <c r="A27" i="272"/>
  <c r="A182" i="324"/>
  <c r="C28" i="334"/>
  <c r="G32" i="334"/>
  <c r="F31" i="334"/>
  <c r="G138" i="242"/>
  <c r="G110" i="326"/>
  <c r="I110" i="326"/>
  <c r="J110" i="326"/>
  <c r="I111" i="326"/>
  <c r="J111" i="326"/>
  <c r="C7" i="333"/>
  <c r="C75" i="333"/>
  <c r="B11" i="267"/>
  <c r="B39" i="267"/>
  <c r="C41" i="178"/>
  <c r="B99" i="100"/>
  <c r="B94" i="100"/>
  <c r="A18" i="268"/>
  <c r="A18" i="272"/>
  <c r="A251" i="323"/>
  <c r="A13" i="272"/>
  <c r="D28" i="334"/>
  <c r="D49" i="334"/>
  <c r="K110" i="325"/>
  <c r="K7" i="335"/>
  <c r="I13" i="242"/>
  <c r="J13" i="242" s="1"/>
  <c r="B3" i="100"/>
  <c r="D2" i="326" s="1"/>
  <c r="A39" i="323"/>
  <c r="B98" i="100"/>
  <c r="A149" i="324"/>
  <c r="A28" i="268"/>
  <c r="A13" i="268"/>
  <c r="A6" i="268"/>
  <c r="A7" i="324"/>
  <c r="A32" i="272"/>
  <c r="A9" i="272"/>
  <c r="A138" i="323"/>
  <c r="A50" i="323"/>
  <c r="B77" i="100"/>
  <c r="B93" i="100"/>
  <c r="E31" i="183"/>
  <c r="C63" i="268"/>
  <c r="C29" i="267"/>
  <c r="C33" i="267"/>
  <c r="D18" i="267"/>
  <c r="G34" i="272"/>
  <c r="I251" i="323"/>
  <c r="J251" i="323"/>
  <c r="A35" i="268"/>
  <c r="A35" i="272"/>
  <c r="A270" i="324"/>
  <c r="A14" i="268"/>
  <c r="A24" i="268"/>
  <c r="E28" i="334"/>
  <c r="E49" i="334"/>
  <c r="G46" i="334"/>
  <c r="C7" i="242"/>
  <c r="C7" i="335"/>
  <c r="C166" i="335"/>
  <c r="D7" i="242"/>
  <c r="C110" i="325"/>
  <c r="I114" i="325"/>
  <c r="J114" i="325"/>
  <c r="I140" i="325"/>
  <c r="J140" i="325"/>
  <c r="I135" i="335"/>
  <c r="J135" i="335"/>
  <c r="G31" i="334"/>
  <c r="D30" i="241"/>
  <c r="D128" i="330"/>
  <c r="I28" i="177"/>
  <c r="J28" i="177" s="1"/>
  <c r="K68" i="318"/>
  <c r="I29" i="183"/>
  <c r="I31" i="183"/>
  <c r="G31" i="183"/>
  <c r="D2" i="269"/>
  <c r="I65" i="317"/>
  <c r="G22" i="334"/>
  <c r="C54" i="317"/>
  <c r="C56" i="317" s="1"/>
  <c r="D55" i="317" s="1"/>
  <c r="D56" i="317" s="1"/>
  <c r="E55" i="317" s="1"/>
  <c r="L52" i="317"/>
  <c r="L54" i="317"/>
  <c r="L66" i="317" s="1"/>
  <c r="L65" i="317"/>
  <c r="D2" i="241"/>
  <c r="D2" i="183"/>
  <c r="C2" i="317"/>
  <c r="D2" i="177"/>
  <c r="J65" i="317"/>
  <c r="G18" i="272"/>
  <c r="H20" i="272"/>
  <c r="I116" i="323"/>
  <c r="J116" i="323"/>
  <c r="A196" i="323"/>
  <c r="A8" i="268"/>
  <c r="A12" i="268"/>
  <c r="A240" i="323"/>
  <c r="G110" i="325"/>
  <c r="D110" i="333"/>
  <c r="C7" i="326"/>
  <c r="F75" i="325"/>
  <c r="I138" i="325"/>
  <c r="J138" i="325"/>
  <c r="G75" i="325"/>
  <c r="I148" i="335"/>
  <c r="J148" i="335" s="1"/>
  <c r="J29" i="183"/>
  <c r="J31" i="183"/>
  <c r="B102" i="100"/>
  <c r="A1" i="172"/>
  <c r="D2" i="272"/>
  <c r="D2" i="182"/>
  <c r="D2" i="178"/>
  <c r="C2" i="173"/>
  <c r="D2" i="335"/>
  <c r="E2" i="174"/>
  <c r="B14" i="100"/>
  <c r="Q3" i="317"/>
  <c r="D2" i="325"/>
  <c r="C2" i="180"/>
  <c r="A53" i="172"/>
  <c r="A104" i="172" s="1"/>
  <c r="D2" i="324"/>
  <c r="C2" i="334"/>
  <c r="B2" i="100"/>
  <c r="C2" i="324" s="1"/>
  <c r="B2" i="267"/>
  <c r="X38" i="329"/>
  <c r="A15" i="175"/>
  <c r="B2" i="180"/>
  <c r="B2" i="172" s="1"/>
  <c r="C2" i="178"/>
  <c r="C2" i="318"/>
  <c r="C2" i="335"/>
  <c r="B77" i="172"/>
  <c r="C2" i="270"/>
  <c r="C2" i="177"/>
  <c r="C2" i="242"/>
  <c r="C2" i="326"/>
  <c r="A54" i="172"/>
  <c r="A103" i="172" s="1"/>
  <c r="C2" i="182"/>
  <c r="C2" i="325"/>
  <c r="C2" i="183"/>
  <c r="C3" i="334"/>
  <c r="C2" i="181"/>
  <c r="C2" i="241"/>
  <c r="C2" i="272"/>
  <c r="C2" i="330"/>
  <c r="G14" i="272"/>
  <c r="I14" i="272"/>
  <c r="J14" i="272"/>
  <c r="B43" i="267"/>
  <c r="D2" i="174"/>
  <c r="C2" i="268"/>
  <c r="C2" i="269"/>
  <c r="H34" i="272"/>
  <c r="I34" i="272"/>
  <c r="J34" i="272"/>
  <c r="I110" i="325"/>
  <c r="J110" i="325"/>
  <c r="E100" i="318"/>
  <c r="E102" i="318"/>
  <c r="C49" i="334"/>
  <c r="G36" i="272"/>
  <c r="I306" i="323"/>
  <c r="J306" i="323"/>
  <c r="G41" i="334"/>
  <c r="F47" i="334"/>
  <c r="G47" i="334"/>
  <c r="E12" i="272"/>
  <c r="D2" i="242"/>
  <c r="C77" i="172"/>
  <c r="D2" i="323"/>
  <c r="C2" i="267"/>
  <c r="D2" i="333"/>
  <c r="F16" i="334"/>
  <c r="K52" i="317"/>
  <c r="K65" i="317"/>
  <c r="E106" i="318"/>
  <c r="E49" i="318"/>
  <c r="E104" i="318" s="1"/>
  <c r="F31" i="183"/>
  <c r="C47" i="334"/>
  <c r="I38" i="272"/>
  <c r="J38" i="272"/>
  <c r="K7" i="333"/>
  <c r="E75" i="325"/>
  <c r="I114" i="333"/>
  <c r="J114" i="333"/>
  <c r="G110" i="333"/>
  <c r="I110" i="333"/>
  <c r="J110" i="333"/>
  <c r="E110" i="335"/>
  <c r="C110" i="333"/>
  <c r="G138" i="335"/>
  <c r="E7" i="335"/>
  <c r="G16" i="334"/>
  <c r="F28" i="334"/>
  <c r="F49" i="334"/>
  <c r="G49" i="334"/>
  <c r="G28" i="334"/>
  <c r="D63" i="268"/>
  <c r="I37" i="272"/>
  <c r="J37" i="272"/>
  <c r="I273" i="323"/>
  <c r="J273" i="323"/>
  <c r="D339" i="323"/>
  <c r="C339" i="323"/>
  <c r="W340" i="323"/>
  <c r="C25" i="272"/>
  <c r="P340" i="323"/>
  <c r="R340" i="323"/>
  <c r="T340" i="323"/>
  <c r="L340" i="323"/>
  <c r="O340" i="323"/>
  <c r="G20" i="272"/>
  <c r="I20" i="272"/>
  <c r="J20" i="272"/>
  <c r="H19" i="272"/>
  <c r="I19" i="272"/>
  <c r="J19" i="272"/>
  <c r="H18" i="272"/>
  <c r="I18" i="272"/>
  <c r="J18" i="272"/>
  <c r="C171" i="323"/>
  <c r="A218" i="323"/>
  <c r="A28" i="272"/>
  <c r="A10" i="272"/>
  <c r="A10" i="268"/>
  <c r="D39" i="272"/>
  <c r="D171" i="323"/>
  <c r="D8" i="272"/>
  <c r="D38" i="241"/>
  <c r="D15" i="241"/>
  <c r="G54" i="317"/>
  <c r="G66" i="317" s="1"/>
  <c r="M54" i="317"/>
  <c r="M66" i="317" s="1"/>
  <c r="D38" i="181"/>
  <c r="D42" i="181"/>
  <c r="D44" i="181"/>
  <c r="D75" i="333"/>
  <c r="I57" i="270"/>
  <c r="J57" i="270"/>
  <c r="E13" i="174"/>
  <c r="J38" i="267"/>
  <c r="G41" i="178"/>
  <c r="D41" i="178"/>
  <c r="E14" i="174"/>
  <c r="I123" i="324"/>
  <c r="J123" i="324"/>
  <c r="I79" i="324"/>
  <c r="J79" i="324"/>
  <c r="I112" i="324"/>
  <c r="J112" i="324"/>
  <c r="I57" i="324"/>
  <c r="J57" i="324"/>
  <c r="I46" i="324"/>
  <c r="J46" i="324"/>
  <c r="I101" i="324"/>
  <c r="J101" i="324"/>
  <c r="I68" i="324"/>
  <c r="J68" i="324"/>
  <c r="D145" i="324"/>
  <c r="I18" i="268"/>
  <c r="J18" i="268"/>
  <c r="M315" i="324"/>
  <c r="O315" i="324"/>
  <c r="I12" i="268"/>
  <c r="J12" i="268"/>
  <c r="I14" i="268"/>
  <c r="J14" i="268"/>
  <c r="L315" i="324"/>
  <c r="N315" i="324"/>
  <c r="P315" i="324"/>
  <c r="R315" i="324"/>
  <c r="Q315" i="324"/>
  <c r="W315" i="324"/>
  <c r="I13" i="268"/>
  <c r="J13" i="268"/>
  <c r="H29" i="324"/>
  <c r="H10" i="268" s="1"/>
  <c r="V315" i="324"/>
  <c r="I226" i="324"/>
  <c r="J226" i="324"/>
  <c r="K145" i="324"/>
  <c r="S315" i="324"/>
  <c r="D21" i="268"/>
  <c r="H18" i="324"/>
  <c r="H19" i="268"/>
  <c r="I19" i="268"/>
  <c r="J19" i="268"/>
  <c r="I281" i="324"/>
  <c r="I17" i="268"/>
  <c r="J17" i="268"/>
  <c r="C314" i="324"/>
  <c r="T315" i="324"/>
  <c r="D39" i="268"/>
  <c r="U315" i="324"/>
  <c r="H34" i="268"/>
  <c r="I259" i="324"/>
  <c r="C39" i="268"/>
  <c r="D314" i="324"/>
  <c r="C145" i="324"/>
  <c r="C316" i="324" s="1"/>
  <c r="G16" i="268"/>
  <c r="I16" i="268"/>
  <c r="J16" i="268"/>
  <c r="G30" i="268"/>
  <c r="I215" i="324"/>
  <c r="H35" i="268"/>
  <c r="I270" i="324"/>
  <c r="H15" i="268"/>
  <c r="I15" i="268"/>
  <c r="J15" i="268"/>
  <c r="H7" i="324"/>
  <c r="H6" i="268" s="1"/>
  <c r="H12" i="324"/>
  <c r="I14" i="324"/>
  <c r="J14" i="324" s="1"/>
  <c r="H32" i="268"/>
  <c r="I237" i="324"/>
  <c r="H37" i="268"/>
  <c r="I292" i="324"/>
  <c r="G20" i="268"/>
  <c r="I20" i="268"/>
  <c r="J20" i="268"/>
  <c r="G24" i="268"/>
  <c r="G33" i="268"/>
  <c r="I248" i="324"/>
  <c r="G38" i="268"/>
  <c r="I303" i="324"/>
  <c r="H23" i="324"/>
  <c r="H9" i="268" s="1"/>
  <c r="K13" i="241"/>
  <c r="H8" i="269"/>
  <c r="H17" i="269"/>
  <c r="K66" i="317"/>
  <c r="D49" i="318"/>
  <c r="H140" i="333"/>
  <c r="H138" i="333" s="1"/>
  <c r="I100" i="333"/>
  <c r="J100" i="333" s="1"/>
  <c r="I28" i="333"/>
  <c r="J28" i="333" s="1"/>
  <c r="I19" i="333"/>
  <c r="J19" i="333" s="1"/>
  <c r="I114" i="335"/>
  <c r="J114" i="335"/>
  <c r="H110" i="335"/>
  <c r="I110" i="335"/>
  <c r="J110" i="335"/>
  <c r="I115" i="335"/>
  <c r="J115" i="335"/>
  <c r="H103" i="335"/>
  <c r="H76" i="335"/>
  <c r="H75" i="335" s="1"/>
  <c r="I55" i="335"/>
  <c r="J55" i="335"/>
  <c r="I41" i="335"/>
  <c r="J41" i="335" s="1"/>
  <c r="I21" i="335"/>
  <c r="J21" i="335" s="1"/>
  <c r="H35" i="324"/>
  <c r="H11" i="268" s="1"/>
  <c r="I27" i="324"/>
  <c r="J27" i="324" s="1"/>
  <c r="H57" i="268"/>
  <c r="I57" i="268" s="1"/>
  <c r="J57" i="268" s="1"/>
  <c r="I49" i="268"/>
  <c r="J49" i="268" s="1"/>
  <c r="I45" i="268"/>
  <c r="J45" i="268" s="1"/>
  <c r="H235" i="330"/>
  <c r="H47" i="241" s="1"/>
  <c r="I223" i="330"/>
  <c r="J223" i="330" s="1"/>
  <c r="I179" i="330"/>
  <c r="J179" i="330" s="1"/>
  <c r="H171" i="330"/>
  <c r="H118" i="330"/>
  <c r="H25" i="241" s="1"/>
  <c r="I88" i="330"/>
  <c r="J88" i="330" s="1"/>
  <c r="D316" i="324"/>
  <c r="I31" i="268"/>
  <c r="J31" i="268"/>
  <c r="D40" i="268"/>
  <c r="J281" i="324"/>
  <c r="I36" i="268"/>
  <c r="J36" i="268"/>
  <c r="I38" i="268"/>
  <c r="J38" i="268"/>
  <c r="J303" i="324"/>
  <c r="I30" i="268"/>
  <c r="J30" i="268"/>
  <c r="J215" i="324"/>
  <c r="J248" i="324"/>
  <c r="I33" i="268"/>
  <c r="J33" i="268"/>
  <c r="I32" i="268"/>
  <c r="J32" i="268"/>
  <c r="J237" i="324"/>
  <c r="J292" i="324"/>
  <c r="I37" i="268"/>
  <c r="J37" i="268"/>
  <c r="I35" i="268"/>
  <c r="J35" i="268"/>
  <c r="J270" i="324"/>
  <c r="I34" i="268"/>
  <c r="J34" i="268"/>
  <c r="J259" i="324"/>
  <c r="D86" i="268"/>
  <c r="E46" i="174"/>
  <c r="E8" i="174"/>
  <c r="C28" i="267"/>
  <c r="G8" i="272"/>
  <c r="D43" i="178"/>
  <c r="D54" i="178"/>
  <c r="C37" i="267"/>
  <c r="H45" i="335"/>
  <c r="H27" i="335"/>
  <c r="D7" i="335"/>
  <c r="D166" i="335"/>
  <c r="I149" i="333"/>
  <c r="J149" i="333" s="1"/>
  <c r="H118" i="333"/>
  <c r="H117" i="333" s="1"/>
  <c r="H99" i="333"/>
  <c r="H76" i="333"/>
  <c r="D7" i="333"/>
  <c r="D166" i="333"/>
  <c r="H8" i="333"/>
  <c r="H103" i="325"/>
  <c r="I103" i="325" s="1"/>
  <c r="J103" i="325" s="1"/>
  <c r="D166" i="325"/>
  <c r="D166" i="326"/>
  <c r="I9" i="326"/>
  <c r="J9" i="326" s="1"/>
  <c r="H140" i="242"/>
  <c r="I140" i="242" s="1"/>
  <c r="J140" i="242" s="1"/>
  <c r="H76" i="242"/>
  <c r="G9" i="180"/>
  <c r="C30" i="172"/>
  <c r="C29" i="172"/>
  <c r="J6" i="180"/>
  <c r="K49" i="318"/>
  <c r="I58" i="269"/>
  <c r="J58" i="269"/>
  <c r="D62" i="269"/>
  <c r="I31" i="269"/>
  <c r="J31" i="269"/>
  <c r="D33" i="269"/>
  <c r="I29" i="269"/>
  <c r="J29" i="269"/>
  <c r="C62" i="269"/>
  <c r="C64" i="269" s="1"/>
  <c r="I60" i="269"/>
  <c r="J60" i="269"/>
  <c r="K33" i="269"/>
  <c r="E62" i="269"/>
  <c r="F33" i="269"/>
  <c r="C33" i="269"/>
  <c r="I59" i="270"/>
  <c r="J59" i="270"/>
  <c r="I31" i="270"/>
  <c r="J31" i="270"/>
  <c r="I29" i="270"/>
  <c r="J29" i="270"/>
  <c r="C33" i="270"/>
  <c r="A31" i="334"/>
  <c r="C61" i="270"/>
  <c r="A60" i="269"/>
  <c r="D61" i="270"/>
  <c r="D63" i="270" s="1"/>
  <c r="A58" i="269"/>
  <c r="I37" i="270"/>
  <c r="J37" i="270" s="1"/>
  <c r="K33" i="270"/>
  <c r="D33" i="270"/>
  <c r="H8" i="270"/>
  <c r="A45" i="269"/>
  <c r="C43" i="267"/>
  <c r="E45" i="174"/>
  <c r="E7" i="174"/>
  <c r="I33" i="182"/>
  <c r="J33" i="182" s="1"/>
  <c r="H22" i="181"/>
  <c r="G10" i="267"/>
  <c r="E55" i="174"/>
  <c r="D38" i="182"/>
  <c r="D42" i="182"/>
  <c r="D44" i="182"/>
  <c r="D46" i="182"/>
  <c r="D48" i="182"/>
  <c r="E11" i="174"/>
  <c r="D341" i="323"/>
  <c r="D21" i="272"/>
  <c r="D40" i="272"/>
  <c r="I113" i="330"/>
  <c r="J113" i="330" s="1"/>
  <c r="H18" i="241"/>
  <c r="I60" i="330"/>
  <c r="J60" i="330" s="1"/>
  <c r="H49" i="330"/>
  <c r="H12" i="241" s="1"/>
  <c r="K8" i="241"/>
  <c r="A1" i="331"/>
  <c r="B4" i="331"/>
  <c r="B8" i="331"/>
  <c r="A1" i="328"/>
  <c r="H50" i="267"/>
  <c r="I157" i="335"/>
  <c r="J157" i="335" s="1"/>
  <c r="H6" i="180"/>
  <c r="I6" i="180" s="1"/>
  <c r="C31" i="172"/>
  <c r="G10" i="180"/>
  <c r="D64" i="269"/>
  <c r="E17" i="174"/>
  <c r="E26" i="174"/>
  <c r="E28" i="174"/>
  <c r="E27" i="174"/>
  <c r="C32" i="172"/>
  <c r="G11" i="180"/>
  <c r="C33" i="172"/>
  <c r="G12" i="180"/>
  <c r="C34" i="172"/>
  <c r="G13" i="180"/>
  <c r="G14" i="180"/>
  <c r="C35" i="172"/>
  <c r="G15" i="180"/>
  <c r="C36" i="172"/>
  <c r="G16" i="180"/>
  <c r="C37" i="172"/>
  <c r="G17" i="180"/>
  <c r="C39" i="172"/>
  <c r="C38" i="172"/>
  <c r="I92" i="318"/>
  <c r="J92" i="318" s="1"/>
  <c r="K106" i="318"/>
  <c r="K84" i="318"/>
  <c r="K102" i="318"/>
  <c r="D84" i="318"/>
  <c r="C19" i="267"/>
  <c r="C20" i="267"/>
  <c r="C23" i="267"/>
  <c r="C25" i="267"/>
  <c r="J16" i="267"/>
  <c r="I29" i="182"/>
  <c r="J29" i="182" s="1"/>
  <c r="C166" i="333" l="1"/>
  <c r="C166" i="326"/>
  <c r="C166" i="242"/>
  <c r="C171" i="335" s="1"/>
  <c r="N46" i="317"/>
  <c r="N65" i="317" s="1"/>
  <c r="E56" i="317"/>
  <c r="F55" i="317" s="1"/>
  <c r="F56" i="317" s="1"/>
  <c r="G55" i="317" s="1"/>
  <c r="G56" i="317" s="1"/>
  <c r="H55" i="317" s="1"/>
  <c r="H56" i="317" s="1"/>
  <c r="I55" i="317" s="1"/>
  <c r="I56" i="317" s="1"/>
  <c r="J55" i="317" s="1"/>
  <c r="J56" i="317" s="1"/>
  <c r="K55" i="317" s="1"/>
  <c r="K56" i="317" s="1"/>
  <c r="L55" i="317" s="1"/>
  <c r="L56" i="317" s="1"/>
  <c r="M55" i="317" s="1"/>
  <c r="M56" i="317" s="1"/>
  <c r="N55" i="317" s="1"/>
  <c r="J66" i="317"/>
  <c r="K100" i="318"/>
  <c r="E47" i="318"/>
  <c r="K47" i="318"/>
  <c r="C106" i="318"/>
  <c r="C49" i="318"/>
  <c r="D50" i="318" s="1"/>
  <c r="K31" i="318"/>
  <c r="C104" i="318"/>
  <c r="E105" i="318" s="1"/>
  <c r="E15" i="318"/>
  <c r="K50" i="318"/>
  <c r="C63" i="270"/>
  <c r="C39" i="177"/>
  <c r="C41" i="177" s="1"/>
  <c r="B46" i="267" s="1"/>
  <c r="D11" i="174"/>
  <c r="C43" i="178"/>
  <c r="C54" i="178" s="1"/>
  <c r="D39" i="174"/>
  <c r="C21" i="268"/>
  <c r="C40" i="268" s="1"/>
  <c r="B28" i="267" s="1"/>
  <c r="D46" i="174"/>
  <c r="D8" i="174" s="1"/>
  <c r="C86" i="268"/>
  <c r="B18" i="267"/>
  <c r="B19" i="267" s="1"/>
  <c r="B20" i="267" s="1"/>
  <c r="B23" i="267" s="1"/>
  <c r="B25" i="267" s="1"/>
  <c r="D28" i="174"/>
  <c r="C341" i="323"/>
  <c r="C39" i="272"/>
  <c r="C21" i="272"/>
  <c r="C40" i="272" s="1"/>
  <c r="C197" i="330"/>
  <c r="C39" i="241"/>
  <c r="C148" i="330"/>
  <c r="C247" i="330" s="1"/>
  <c r="C257" i="330" s="1"/>
  <c r="C36" i="241"/>
  <c r="C33" i="241"/>
  <c r="C29" i="241"/>
  <c r="C20" i="241"/>
  <c r="C75" i="330"/>
  <c r="C10" i="241"/>
  <c r="O56" i="317"/>
  <c r="P55" i="317" s="1"/>
  <c r="O66" i="317"/>
  <c r="P52" i="317"/>
  <c r="P54" i="317" s="1"/>
  <c r="P56" i="317" s="1"/>
  <c r="Q55" i="317" s="1"/>
  <c r="Q54" i="317"/>
  <c r="I17" i="335"/>
  <c r="J17" i="335" s="1"/>
  <c r="I138" i="326"/>
  <c r="J138" i="326" s="1"/>
  <c r="I226" i="330"/>
  <c r="J226" i="330" s="1"/>
  <c r="H45" i="241"/>
  <c r="G49" i="174"/>
  <c r="G10" i="174" s="1"/>
  <c r="F75" i="242"/>
  <c r="G75" i="242"/>
  <c r="I15" i="180"/>
  <c r="I154" i="333"/>
  <c r="J154" i="333" s="1"/>
  <c r="I140" i="326"/>
  <c r="J140" i="326" s="1"/>
  <c r="I27" i="326"/>
  <c r="J27" i="326" s="1"/>
  <c r="I149" i="324"/>
  <c r="J149" i="324" s="1"/>
  <c r="F7" i="325"/>
  <c r="F166" i="325" s="1"/>
  <c r="I38" i="326"/>
  <c r="J38" i="326" s="1"/>
  <c r="F7" i="242"/>
  <c r="F61" i="270"/>
  <c r="N24" i="238"/>
  <c r="O12" i="238"/>
  <c r="H138" i="335"/>
  <c r="I138" i="335" s="1"/>
  <c r="J138" i="335" s="1"/>
  <c r="H6" i="267"/>
  <c r="I6" i="267" s="1"/>
  <c r="I75" i="326"/>
  <c r="J75" i="326" s="1"/>
  <c r="E166" i="326"/>
  <c r="K7" i="326"/>
  <c r="E75" i="335"/>
  <c r="E33" i="270"/>
  <c r="K39" i="177"/>
  <c r="K41" i="177" s="1"/>
  <c r="J46" i="267" s="1"/>
  <c r="H11" i="174"/>
  <c r="J40" i="267"/>
  <c r="J37" i="267"/>
  <c r="E26" i="178"/>
  <c r="I182" i="324"/>
  <c r="K314" i="324"/>
  <c r="K316" i="324" s="1"/>
  <c r="D33" i="267"/>
  <c r="K63" i="268"/>
  <c r="H7" i="174"/>
  <c r="D19" i="267"/>
  <c r="C16" i="241"/>
  <c r="D10" i="241"/>
  <c r="D26" i="241" s="1"/>
  <c r="D26" i="330"/>
  <c r="D125" i="330" s="1"/>
  <c r="D256" i="330" s="1"/>
  <c r="D99" i="330"/>
  <c r="I45" i="241"/>
  <c r="J45" i="241" s="1"/>
  <c r="C26" i="330"/>
  <c r="C125" i="330" s="1"/>
  <c r="D221" i="330"/>
  <c r="C7" i="241"/>
  <c r="C6" i="241" s="1"/>
  <c r="K221" i="330"/>
  <c r="D18" i="241"/>
  <c r="D16" i="241" s="1"/>
  <c r="D39" i="241"/>
  <c r="I171" i="330"/>
  <c r="J171" i="330" s="1"/>
  <c r="E99" i="330"/>
  <c r="F6" i="330"/>
  <c r="C43" i="241"/>
  <c r="D49" i="241"/>
  <c r="D247" i="330"/>
  <c r="K43" i="241"/>
  <c r="K26" i="330"/>
  <c r="E6" i="330"/>
  <c r="J14" i="180"/>
  <c r="G50" i="267"/>
  <c r="G14" i="174"/>
  <c r="I50" i="267"/>
  <c r="E26" i="175"/>
  <c r="E27" i="175" s="1"/>
  <c r="J26" i="175"/>
  <c r="J27" i="175" s="1"/>
  <c r="D53" i="172"/>
  <c r="F39" i="177"/>
  <c r="F75" i="335"/>
  <c r="G117" i="325"/>
  <c r="I117" i="325" s="1"/>
  <c r="J117" i="325" s="1"/>
  <c r="F7" i="326"/>
  <c r="F166" i="326" s="1"/>
  <c r="F117" i="242"/>
  <c r="F62" i="269"/>
  <c r="F64" i="269" s="1"/>
  <c r="K24" i="238"/>
  <c r="C2" i="333"/>
  <c r="C2" i="323"/>
  <c r="D2" i="268"/>
  <c r="D2" i="330"/>
  <c r="B47" i="100"/>
  <c r="D2" i="181"/>
  <c r="C2" i="175"/>
  <c r="D2" i="318"/>
  <c r="D2" i="270"/>
  <c r="I157" i="242"/>
  <c r="J157" i="242" s="1"/>
  <c r="I189" i="330"/>
  <c r="J189" i="330" s="1"/>
  <c r="I37" i="241"/>
  <c r="J37" i="241" s="1"/>
  <c r="F33" i="270"/>
  <c r="F63" i="270" s="1"/>
  <c r="G33" i="270"/>
  <c r="I154" i="326"/>
  <c r="J154" i="326" s="1"/>
  <c r="F128" i="330"/>
  <c r="I87" i="330"/>
  <c r="J87" i="330" s="1"/>
  <c r="G39" i="177"/>
  <c r="G41" i="177" s="1"/>
  <c r="F46" i="267" s="1"/>
  <c r="I27" i="325"/>
  <c r="J27" i="325" s="1"/>
  <c r="I76" i="326"/>
  <c r="J76" i="326" s="1"/>
  <c r="F26" i="175"/>
  <c r="F27" i="175" s="1"/>
  <c r="I45" i="335"/>
  <c r="J45" i="335" s="1"/>
  <c r="G7" i="325"/>
  <c r="I14" i="180"/>
  <c r="B36" i="172"/>
  <c r="G33" i="269"/>
  <c r="G61" i="270"/>
  <c r="I9" i="268"/>
  <c r="J9" i="268" s="1"/>
  <c r="H13" i="267"/>
  <c r="I13" i="267" s="1"/>
  <c r="I6" i="323"/>
  <c r="J6" i="323" s="1"/>
  <c r="I12" i="241"/>
  <c r="J12" i="241" s="1"/>
  <c r="G6" i="241"/>
  <c r="F7" i="241"/>
  <c r="I100" i="330"/>
  <c r="J100" i="330" s="1"/>
  <c r="I118" i="242"/>
  <c r="J118" i="242" s="1"/>
  <c r="H6" i="272"/>
  <c r="I6" i="272" s="1"/>
  <c r="J6" i="272" s="1"/>
  <c r="H15" i="180"/>
  <c r="I103" i="335"/>
  <c r="J103" i="335" s="1"/>
  <c r="G7" i="335"/>
  <c r="G75" i="333"/>
  <c r="I45" i="326"/>
  <c r="J45" i="326" s="1"/>
  <c r="G7" i="326"/>
  <c r="G166" i="326" s="1"/>
  <c r="B28" i="172"/>
  <c r="I30" i="318"/>
  <c r="J30" i="318" s="1"/>
  <c r="D26" i="175"/>
  <c r="D27" i="175" s="1"/>
  <c r="C50" i="267"/>
  <c r="H26" i="175"/>
  <c r="H27" i="175" s="1"/>
  <c r="I18" i="324"/>
  <c r="J18" i="324" s="1"/>
  <c r="F197" i="330"/>
  <c r="G6" i="330"/>
  <c r="I76" i="335"/>
  <c r="J76" i="335" s="1"/>
  <c r="H7" i="333"/>
  <c r="H45" i="267"/>
  <c r="I45" i="267" s="1"/>
  <c r="I171" i="324"/>
  <c r="I26" i="268" s="1"/>
  <c r="J26" i="268" s="1"/>
  <c r="G29" i="267"/>
  <c r="G33" i="267" s="1"/>
  <c r="I47" i="268"/>
  <c r="J47" i="268" s="1"/>
  <c r="H12" i="267"/>
  <c r="I12" i="267" s="1"/>
  <c r="H9" i="267"/>
  <c r="I9" i="267" s="1"/>
  <c r="I218" i="323"/>
  <c r="J218" i="323" s="1"/>
  <c r="I209" i="330"/>
  <c r="J209" i="330" s="1"/>
  <c r="F102" i="318"/>
  <c r="M22" i="238"/>
  <c r="M24" i="238" s="1"/>
  <c r="O18" i="238"/>
  <c r="J13" i="180"/>
  <c r="I64" i="330"/>
  <c r="J64" i="330" s="1"/>
  <c r="K166" i="335"/>
  <c r="I148" i="333"/>
  <c r="J148" i="333" s="1"/>
  <c r="K75" i="333"/>
  <c r="K166" i="333"/>
  <c r="K7" i="325"/>
  <c r="K166" i="325" s="1"/>
  <c r="K166" i="326"/>
  <c r="K7" i="242"/>
  <c r="K166" i="242" s="1"/>
  <c r="I8" i="242"/>
  <c r="J8" i="242" s="1"/>
  <c r="K104" i="318"/>
  <c r="K62" i="269"/>
  <c r="K64" i="269" s="1"/>
  <c r="K61" i="270"/>
  <c r="K63" i="270" s="1"/>
  <c r="J45" i="267"/>
  <c r="H10" i="174"/>
  <c r="H13" i="174"/>
  <c r="G43" i="178"/>
  <c r="G54" i="178" s="1"/>
  <c r="K21" i="268"/>
  <c r="K39" i="268"/>
  <c r="J33" i="267"/>
  <c r="J18" i="267"/>
  <c r="J19" i="267" s="1"/>
  <c r="J11" i="267"/>
  <c r="H55" i="174"/>
  <c r="H27" i="174" s="1"/>
  <c r="K38" i="182"/>
  <c r="K42" i="182" s="1"/>
  <c r="K44" i="182" s="1"/>
  <c r="K46" i="182" s="1"/>
  <c r="K48" i="182" s="1"/>
  <c r="H15" i="267"/>
  <c r="I15" i="267" s="1"/>
  <c r="K339" i="323"/>
  <c r="K39" i="272"/>
  <c r="K171" i="323"/>
  <c r="K21" i="272"/>
  <c r="I229" i="323"/>
  <c r="J229" i="323" s="1"/>
  <c r="I39" i="323"/>
  <c r="J39" i="323" s="1"/>
  <c r="I27" i="335"/>
  <c r="J27" i="335" s="1"/>
  <c r="I151" i="242"/>
  <c r="J151" i="242" s="1"/>
  <c r="F8" i="180"/>
  <c r="B29" i="172"/>
  <c r="B37" i="172"/>
  <c r="J15" i="180"/>
  <c r="F106" i="318"/>
  <c r="F49" i="318"/>
  <c r="G49" i="318"/>
  <c r="L21" i="175"/>
  <c r="L14" i="175"/>
  <c r="G26" i="175"/>
  <c r="G27" i="175" s="1"/>
  <c r="F50" i="267"/>
  <c r="F63" i="268"/>
  <c r="E29" i="267"/>
  <c r="E33" i="267" s="1"/>
  <c r="G339" i="323"/>
  <c r="I28" i="272"/>
  <c r="J28" i="272" s="1"/>
  <c r="G24" i="272"/>
  <c r="G39" i="272" s="1"/>
  <c r="I9" i="272"/>
  <c r="J9" i="272" s="1"/>
  <c r="F75" i="330"/>
  <c r="F8" i="241"/>
  <c r="I104" i="330"/>
  <c r="J104" i="330" s="1"/>
  <c r="G99" i="330"/>
  <c r="K197" i="330"/>
  <c r="K40" i="241"/>
  <c r="K39" i="241" s="1"/>
  <c r="K148" i="330"/>
  <c r="K33" i="241"/>
  <c r="K128" i="330"/>
  <c r="K31" i="241"/>
  <c r="K29" i="241" s="1"/>
  <c r="K20" i="241"/>
  <c r="K99" i="330"/>
  <c r="K75" i="330"/>
  <c r="K17" i="241"/>
  <c r="K16" i="241" s="1"/>
  <c r="K10" i="241"/>
  <c r="K6" i="330"/>
  <c r="K7" i="241"/>
  <c r="K6" i="241" s="1"/>
  <c r="E166" i="335"/>
  <c r="E7" i="333"/>
  <c r="E166" i="333" s="1"/>
  <c r="D102" i="318"/>
  <c r="D104" i="318" s="1"/>
  <c r="D106" i="318"/>
  <c r="E33" i="269"/>
  <c r="E64" i="269" s="1"/>
  <c r="E61" i="270"/>
  <c r="E63" i="270" s="1"/>
  <c r="F10" i="174"/>
  <c r="E41" i="178"/>
  <c r="E43" i="178" s="1"/>
  <c r="E54" i="178" s="1"/>
  <c r="F53" i="174"/>
  <c r="F39" i="174"/>
  <c r="D37" i="267"/>
  <c r="E39" i="268"/>
  <c r="E314" i="324"/>
  <c r="E21" i="268"/>
  <c r="E145" i="324"/>
  <c r="E74" i="268"/>
  <c r="E63" i="268"/>
  <c r="D20" i="267"/>
  <c r="D23" i="267" s="1"/>
  <c r="D25" i="267" s="1"/>
  <c r="F28" i="174"/>
  <c r="F26" i="174"/>
  <c r="F17" i="174"/>
  <c r="E339" i="323"/>
  <c r="E39" i="272"/>
  <c r="E21" i="272"/>
  <c r="E40" i="272" s="1"/>
  <c r="E171" i="323"/>
  <c r="E221" i="330"/>
  <c r="E43" i="241"/>
  <c r="E39" i="241"/>
  <c r="E197" i="330"/>
  <c r="D257" i="330"/>
  <c r="E148" i="330"/>
  <c r="E33" i="241"/>
  <c r="E29" i="241"/>
  <c r="E128" i="330"/>
  <c r="E20" i="241"/>
  <c r="E16" i="241"/>
  <c r="E75" i="330"/>
  <c r="E26" i="330"/>
  <c r="E10" i="241"/>
  <c r="E6" i="241"/>
  <c r="I8" i="333"/>
  <c r="J8" i="333" s="1"/>
  <c r="I37" i="177"/>
  <c r="J37" i="177" s="1"/>
  <c r="I70" i="268"/>
  <c r="J70" i="268" s="1"/>
  <c r="I186" i="330"/>
  <c r="J186" i="330" s="1"/>
  <c r="H99" i="330"/>
  <c r="I92" i="330"/>
  <c r="J92" i="330" s="1"/>
  <c r="H75" i="330"/>
  <c r="G7" i="242"/>
  <c r="G166" i="242" s="1"/>
  <c r="H16" i="180"/>
  <c r="I16" i="180" s="1"/>
  <c r="G74" i="268"/>
  <c r="I74" i="268" s="1"/>
  <c r="J74" i="268" s="1"/>
  <c r="F29" i="267"/>
  <c r="B61" i="100"/>
  <c r="A1" i="175" s="1"/>
  <c r="O20" i="238"/>
  <c r="O22" i="238" s="1"/>
  <c r="G7" i="174"/>
  <c r="K21" i="175"/>
  <c r="G62" i="269"/>
  <c r="G75" i="335"/>
  <c r="I75" i="335" s="1"/>
  <c r="J75" i="335" s="1"/>
  <c r="I99" i="333"/>
  <c r="J99" i="333" s="1"/>
  <c r="I17" i="325"/>
  <c r="J17" i="325" s="1"/>
  <c r="I38" i="242"/>
  <c r="J38" i="242" s="1"/>
  <c r="I17" i="180"/>
  <c r="J17" i="180"/>
  <c r="J16" i="180"/>
  <c r="K15" i="173"/>
  <c r="J52" i="267" s="1"/>
  <c r="E53" i="172"/>
  <c r="K14" i="175"/>
  <c r="K26" i="175" s="1"/>
  <c r="K27" i="175" s="1"/>
  <c r="F44" i="267"/>
  <c r="H44" i="267" s="1"/>
  <c r="I44" i="267" s="1"/>
  <c r="H43" i="267"/>
  <c r="I43" i="267" s="1"/>
  <c r="G11" i="174"/>
  <c r="I193" i="324"/>
  <c r="I28" i="268" s="1"/>
  <c r="J28" i="268" s="1"/>
  <c r="H31" i="267"/>
  <c r="I31" i="267" s="1"/>
  <c r="E18" i="267"/>
  <c r="E19" i="267" s="1"/>
  <c r="F18" i="267"/>
  <c r="F19" i="267" s="1"/>
  <c r="H8" i="267"/>
  <c r="I8" i="267" s="1"/>
  <c r="I27" i="272"/>
  <c r="J27" i="272" s="1"/>
  <c r="I196" i="323"/>
  <c r="J196" i="323" s="1"/>
  <c r="I41" i="241"/>
  <c r="J41" i="241" s="1"/>
  <c r="F148" i="330"/>
  <c r="I129" i="330"/>
  <c r="J129" i="330" s="1"/>
  <c r="I118" i="330"/>
  <c r="J118" i="330" s="1"/>
  <c r="G23" i="241"/>
  <c r="I23" i="241" s="1"/>
  <c r="J23" i="241" s="1"/>
  <c r="I108" i="330"/>
  <c r="J108" i="330" s="1"/>
  <c r="F99" i="330"/>
  <c r="F21" i="241"/>
  <c r="F20" i="241" s="1"/>
  <c r="I76" i="330"/>
  <c r="J76" i="330" s="1"/>
  <c r="I17" i="241"/>
  <c r="J17" i="241" s="1"/>
  <c r="G75" i="330"/>
  <c r="F26" i="330"/>
  <c r="I8" i="335"/>
  <c r="J8" i="335" s="1"/>
  <c r="I140" i="333"/>
  <c r="J140" i="333" s="1"/>
  <c r="I118" i="333"/>
  <c r="J118" i="333" s="1"/>
  <c r="H138" i="242"/>
  <c r="I138" i="242" s="1"/>
  <c r="J138" i="242" s="1"/>
  <c r="H7" i="242"/>
  <c r="H33" i="269"/>
  <c r="H33" i="270"/>
  <c r="I10" i="268"/>
  <c r="J10" i="268" s="1"/>
  <c r="I29" i="324"/>
  <c r="J29" i="324" s="1"/>
  <c r="H8" i="268"/>
  <c r="I8" i="268" s="1"/>
  <c r="J8" i="268" s="1"/>
  <c r="I29" i="272"/>
  <c r="J29" i="272" s="1"/>
  <c r="H26" i="272"/>
  <c r="I26" i="272" s="1"/>
  <c r="J26" i="272" s="1"/>
  <c r="I10" i="272"/>
  <c r="J10" i="272" s="1"/>
  <c r="I28" i="323"/>
  <c r="J28" i="323" s="1"/>
  <c r="I146" i="330"/>
  <c r="J146" i="330" s="1"/>
  <c r="I230" i="330"/>
  <c r="J230" i="330" s="1"/>
  <c r="I36" i="241"/>
  <c r="J36" i="241" s="1"/>
  <c r="H30" i="241"/>
  <c r="I30" i="241" s="1"/>
  <c r="J30" i="241" s="1"/>
  <c r="H20" i="241"/>
  <c r="A1" i="241"/>
  <c r="G148" i="330"/>
  <c r="I177" i="330"/>
  <c r="J177" i="330" s="1"/>
  <c r="F40" i="267"/>
  <c r="F38" i="267"/>
  <c r="F38" i="182"/>
  <c r="F42" i="182" s="1"/>
  <c r="F44" i="182" s="1"/>
  <c r="F46" i="182" s="1"/>
  <c r="F48" i="182" s="1"/>
  <c r="D104" i="172"/>
  <c r="C79" i="172"/>
  <c r="B79" i="172" s="1"/>
  <c r="D166" i="242"/>
  <c r="I76" i="242"/>
  <c r="J76" i="242" s="1"/>
  <c r="D171" i="326"/>
  <c r="D171" i="335"/>
  <c r="D171" i="242"/>
  <c r="I152" i="242"/>
  <c r="J152" i="242" s="1"/>
  <c r="E75" i="242"/>
  <c r="E166" i="242" s="1"/>
  <c r="I117" i="242"/>
  <c r="J117" i="242" s="1"/>
  <c r="I148" i="242"/>
  <c r="J148" i="242" s="1"/>
  <c r="I103" i="242"/>
  <c r="J103" i="242" s="1"/>
  <c r="F7" i="335"/>
  <c r="F117" i="333"/>
  <c r="G7" i="333"/>
  <c r="I27" i="333"/>
  <c r="J27" i="333" s="1"/>
  <c r="F7" i="333"/>
  <c r="F75" i="333"/>
  <c r="I157" i="333"/>
  <c r="J157" i="333" s="1"/>
  <c r="G138" i="333"/>
  <c r="I138" i="333" s="1"/>
  <c r="J138" i="333" s="1"/>
  <c r="G117" i="333"/>
  <c r="I117" i="333" s="1"/>
  <c r="J117" i="333" s="1"/>
  <c r="I17" i="333"/>
  <c r="J17" i="333" s="1"/>
  <c r="I154" i="242"/>
  <c r="J154" i="242" s="1"/>
  <c r="H7" i="180"/>
  <c r="I7" i="180" s="1"/>
  <c r="J7" i="180"/>
  <c r="H13" i="180"/>
  <c r="I13" i="180" s="1"/>
  <c r="H17" i="180"/>
  <c r="F38" i="181"/>
  <c r="F42" i="181" s="1"/>
  <c r="F44" i="181" s="1"/>
  <c r="G38" i="181"/>
  <c r="G42" i="181" s="1"/>
  <c r="G44" i="181" s="1"/>
  <c r="I36" i="181"/>
  <c r="J36" i="181" s="1"/>
  <c r="G102" i="318"/>
  <c r="G106" i="318"/>
  <c r="I83" i="318"/>
  <c r="J83" i="318" s="1"/>
  <c r="I46" i="318"/>
  <c r="J46" i="318" s="1"/>
  <c r="I45" i="269"/>
  <c r="J45" i="269" s="1"/>
  <c r="F41" i="178"/>
  <c r="G13" i="174"/>
  <c r="F36" i="267"/>
  <c r="F26" i="178"/>
  <c r="I204" i="324"/>
  <c r="G314" i="324"/>
  <c r="G39" i="268"/>
  <c r="F39" i="268"/>
  <c r="F314" i="324"/>
  <c r="I11" i="268"/>
  <c r="J11" i="268" s="1"/>
  <c r="I35" i="324"/>
  <c r="J35" i="324" s="1"/>
  <c r="G21" i="268"/>
  <c r="F21" i="268"/>
  <c r="G145" i="324"/>
  <c r="I12" i="324"/>
  <c r="J12" i="324" s="1"/>
  <c r="F145" i="324"/>
  <c r="H32" i="267"/>
  <c r="I32" i="267" s="1"/>
  <c r="G63" i="268"/>
  <c r="I43" i="268"/>
  <c r="J43" i="268" s="1"/>
  <c r="H22" i="267"/>
  <c r="I22" i="267" s="1"/>
  <c r="H21" i="267"/>
  <c r="I21" i="267" s="1"/>
  <c r="H14" i="267"/>
  <c r="I14" i="267" s="1"/>
  <c r="H16" i="267"/>
  <c r="I16" i="267" s="1"/>
  <c r="E11" i="267"/>
  <c r="H10" i="267"/>
  <c r="I10" i="267" s="1"/>
  <c r="F11" i="267"/>
  <c r="G53" i="182"/>
  <c r="H7" i="267"/>
  <c r="I7" i="267" s="1"/>
  <c r="G27" i="174"/>
  <c r="G28" i="174"/>
  <c r="G26" i="174"/>
  <c r="G17" i="174"/>
  <c r="I22" i="182"/>
  <c r="J22" i="182" s="1"/>
  <c r="G38" i="182"/>
  <c r="G42" i="182" s="1"/>
  <c r="G44" i="182" s="1"/>
  <c r="G46" i="182" s="1"/>
  <c r="G48" i="182" s="1"/>
  <c r="F39" i="272"/>
  <c r="I174" i="323"/>
  <c r="J174" i="323" s="1"/>
  <c r="F339" i="323"/>
  <c r="G171" i="323"/>
  <c r="I11" i="272"/>
  <c r="J11" i="272" s="1"/>
  <c r="I61" i="323"/>
  <c r="J61" i="323" s="1"/>
  <c r="I50" i="323"/>
  <c r="J50" i="323" s="1"/>
  <c r="G21" i="272"/>
  <c r="F21" i="272"/>
  <c r="I8" i="272"/>
  <c r="J8" i="272" s="1"/>
  <c r="F171" i="323"/>
  <c r="I235" i="330"/>
  <c r="J235" i="330" s="1"/>
  <c r="G221" i="330"/>
  <c r="I47" i="241"/>
  <c r="J47" i="241" s="1"/>
  <c r="I46" i="241"/>
  <c r="J46" i="241" s="1"/>
  <c r="F221" i="330"/>
  <c r="F43" i="241"/>
  <c r="G43" i="241"/>
  <c r="G39" i="241"/>
  <c r="F39" i="241"/>
  <c r="G197" i="330"/>
  <c r="I38" i="241"/>
  <c r="J38" i="241" s="1"/>
  <c r="F33" i="241"/>
  <c r="G33" i="241"/>
  <c r="G128" i="330"/>
  <c r="I32" i="241"/>
  <c r="J32" i="241" s="1"/>
  <c r="F29" i="241"/>
  <c r="G29" i="241"/>
  <c r="I25" i="241"/>
  <c r="J25" i="241" s="1"/>
  <c r="I24" i="241"/>
  <c r="J24" i="241" s="1"/>
  <c r="I22" i="241"/>
  <c r="J22" i="241" s="1"/>
  <c r="I21" i="241"/>
  <c r="J21" i="241" s="1"/>
  <c r="G16" i="241"/>
  <c r="I18" i="241"/>
  <c r="J18" i="241" s="1"/>
  <c r="F16" i="241"/>
  <c r="I14" i="241"/>
  <c r="J14" i="241" s="1"/>
  <c r="I13" i="241"/>
  <c r="J13" i="241" s="1"/>
  <c r="F10" i="241"/>
  <c r="G10" i="241"/>
  <c r="I11" i="241"/>
  <c r="J11" i="241" s="1"/>
  <c r="I27" i="330"/>
  <c r="J27" i="330" s="1"/>
  <c r="G26" i="330"/>
  <c r="B95" i="100"/>
  <c r="H7" i="335"/>
  <c r="H75" i="333"/>
  <c r="I76" i="333"/>
  <c r="J76" i="333" s="1"/>
  <c r="H75" i="325"/>
  <c r="I75" i="325" s="1"/>
  <c r="J75" i="325" s="1"/>
  <c r="H7" i="325"/>
  <c r="I8" i="326"/>
  <c r="J8" i="326" s="1"/>
  <c r="H7" i="326"/>
  <c r="H75" i="242"/>
  <c r="I29" i="181"/>
  <c r="J29" i="181" s="1"/>
  <c r="H38" i="181"/>
  <c r="H42" i="181" s="1"/>
  <c r="I22" i="181"/>
  <c r="J22" i="181" s="1"/>
  <c r="H102" i="318"/>
  <c r="I99" i="318"/>
  <c r="J99" i="318" s="1"/>
  <c r="I88" i="318"/>
  <c r="J88" i="318" s="1"/>
  <c r="I34" i="318"/>
  <c r="J34" i="318" s="1"/>
  <c r="H106" i="318"/>
  <c r="H14" i="318"/>
  <c r="I36" i="269"/>
  <c r="J37" i="269"/>
  <c r="H36" i="269"/>
  <c r="H62" i="269" s="1"/>
  <c r="I17" i="269"/>
  <c r="J17" i="269" s="1"/>
  <c r="I8" i="269"/>
  <c r="H45" i="270"/>
  <c r="I45" i="270" s="1"/>
  <c r="J45" i="270" s="1"/>
  <c r="I36" i="270"/>
  <c r="I17" i="270"/>
  <c r="J17" i="270" s="1"/>
  <c r="J19" i="270"/>
  <c r="I8" i="270"/>
  <c r="J8" i="270" s="1"/>
  <c r="I18" i="177"/>
  <c r="J18" i="177" s="1"/>
  <c r="H39" i="177"/>
  <c r="H41" i="177" s="1"/>
  <c r="G46" i="267" s="1"/>
  <c r="H39" i="268"/>
  <c r="I160" i="324"/>
  <c r="H314" i="324"/>
  <c r="I23" i="324"/>
  <c r="J23" i="324" s="1"/>
  <c r="H7" i="268"/>
  <c r="I7" i="268" s="1"/>
  <c r="J7" i="268" s="1"/>
  <c r="H145" i="324"/>
  <c r="I6" i="268"/>
  <c r="I7" i="324"/>
  <c r="J7" i="324" s="1"/>
  <c r="H53" i="268"/>
  <c r="I53" i="268" s="1"/>
  <c r="J53" i="268" s="1"/>
  <c r="H36" i="182"/>
  <c r="I30" i="182"/>
  <c r="J30" i="182" s="1"/>
  <c r="G11" i="267"/>
  <c r="I207" i="323"/>
  <c r="J207" i="323" s="1"/>
  <c r="H25" i="272"/>
  <c r="I25" i="272" s="1"/>
  <c r="J25" i="272" s="1"/>
  <c r="I185" i="323"/>
  <c r="J185" i="323" s="1"/>
  <c r="H339" i="323"/>
  <c r="I186" i="323"/>
  <c r="J186" i="323" s="1"/>
  <c r="I17" i="323"/>
  <c r="J17" i="323" s="1"/>
  <c r="H7" i="272"/>
  <c r="H171" i="323"/>
  <c r="H240" i="330"/>
  <c r="I44" i="241"/>
  <c r="H43" i="241"/>
  <c r="I222" i="330"/>
  <c r="H221" i="330"/>
  <c r="H214" i="330"/>
  <c r="H198" i="330"/>
  <c r="H35" i="241"/>
  <c r="I35" i="241" s="1"/>
  <c r="J35" i="241" s="1"/>
  <c r="H149" i="330"/>
  <c r="H31" i="241"/>
  <c r="I132" i="330"/>
  <c r="J132" i="330" s="1"/>
  <c r="H128" i="330"/>
  <c r="I134" i="330"/>
  <c r="J134" i="330" s="1"/>
  <c r="H16" i="241"/>
  <c r="I19" i="241"/>
  <c r="J19" i="241" s="1"/>
  <c r="I55" i="330"/>
  <c r="J55" i="330" s="1"/>
  <c r="I49" i="330"/>
  <c r="J49" i="330" s="1"/>
  <c r="H10" i="241"/>
  <c r="H26" i="330"/>
  <c r="H8" i="241"/>
  <c r="I8" i="241" s="1"/>
  <c r="J8" i="241" s="1"/>
  <c r="I10" i="330"/>
  <c r="J10" i="330" s="1"/>
  <c r="I12" i="330"/>
  <c r="J12" i="330" s="1"/>
  <c r="I7" i="241"/>
  <c r="J7" i="241" s="1"/>
  <c r="H6" i="330"/>
  <c r="I7" i="330"/>
  <c r="J7" i="330" s="1"/>
  <c r="A1" i="178"/>
  <c r="A1" i="251"/>
  <c r="A1" i="323"/>
  <c r="A1" i="177"/>
  <c r="A1" i="182"/>
  <c r="A1" i="268"/>
  <c r="A1" i="272"/>
  <c r="A1" i="267"/>
  <c r="A1" i="324"/>
  <c r="A1" i="330"/>
  <c r="D64" i="100"/>
  <c r="C171" i="242" l="1"/>
  <c r="C171" i="326"/>
  <c r="N52" i="317"/>
  <c r="E50" i="318"/>
  <c r="K105" i="318"/>
  <c r="D105" i="318"/>
  <c r="C49" i="241"/>
  <c r="C26" i="241"/>
  <c r="Q56" i="317"/>
  <c r="P66" i="317"/>
  <c r="I24" i="268"/>
  <c r="J24" i="268" s="1"/>
  <c r="F166" i="242"/>
  <c r="O24" i="238"/>
  <c r="J182" i="324"/>
  <c r="I27" i="268"/>
  <c r="J27" i="268" s="1"/>
  <c r="H17" i="174"/>
  <c r="E341" i="323"/>
  <c r="C248" i="330"/>
  <c r="C256" i="330"/>
  <c r="D248" i="330"/>
  <c r="D50" i="241"/>
  <c r="F6" i="241"/>
  <c r="F26" i="241" s="1"/>
  <c r="K247" i="330"/>
  <c r="K257" i="330" s="1"/>
  <c r="I24" i="272"/>
  <c r="I39" i="272" s="1"/>
  <c r="H46" i="267"/>
  <c r="I46" i="267" s="1"/>
  <c r="F166" i="335"/>
  <c r="G166" i="325"/>
  <c r="G63" i="270"/>
  <c r="G20" i="241"/>
  <c r="G26" i="241" s="1"/>
  <c r="A1" i="269"/>
  <c r="A1" i="333"/>
  <c r="A1" i="318"/>
  <c r="A1" i="238"/>
  <c r="G166" i="335"/>
  <c r="I7" i="325"/>
  <c r="J7" i="325" s="1"/>
  <c r="G64" i="269"/>
  <c r="I7" i="333"/>
  <c r="J7" i="333" s="1"/>
  <c r="A1" i="326"/>
  <c r="A1" i="183"/>
  <c r="A1" i="270"/>
  <c r="A1" i="173"/>
  <c r="A1" i="335"/>
  <c r="A1" i="334"/>
  <c r="I7" i="335"/>
  <c r="J7" i="335" s="1"/>
  <c r="I75" i="333"/>
  <c r="J75" i="333" s="1"/>
  <c r="I102" i="318"/>
  <c r="J102" i="318" s="1"/>
  <c r="F104" i="318"/>
  <c r="J171" i="324"/>
  <c r="H29" i="267"/>
  <c r="I29" i="267" s="1"/>
  <c r="A1" i="180"/>
  <c r="G341" i="323"/>
  <c r="K40" i="268"/>
  <c r="J28" i="267" s="1"/>
  <c r="J20" i="267"/>
  <c r="J23" i="267" s="1"/>
  <c r="J25" i="267" s="1"/>
  <c r="H26" i="174"/>
  <c r="H28" i="174"/>
  <c r="K341" i="323"/>
  <c r="K40" i="272"/>
  <c r="B30" i="172"/>
  <c r="F9" i="180"/>
  <c r="F10" i="180" s="1"/>
  <c r="F11" i="180" s="1"/>
  <c r="F12" i="180" s="1"/>
  <c r="J8" i="180"/>
  <c r="H8" i="180"/>
  <c r="I8" i="180" s="1"/>
  <c r="G104" i="318"/>
  <c r="F33" i="267"/>
  <c r="H33" i="267" s="1"/>
  <c r="I33" i="267" s="1"/>
  <c r="I339" i="323"/>
  <c r="J339" i="323" s="1"/>
  <c r="I99" i="330"/>
  <c r="J99" i="330" s="1"/>
  <c r="I75" i="330"/>
  <c r="J75" i="330" s="1"/>
  <c r="K49" i="241"/>
  <c r="K125" i="330"/>
  <c r="K256" i="330" s="1"/>
  <c r="K26" i="241"/>
  <c r="F14" i="174"/>
  <c r="F13" i="174"/>
  <c r="E40" i="268"/>
  <c r="D28" i="267" s="1"/>
  <c r="E316" i="324"/>
  <c r="E247" i="330"/>
  <c r="E257" i="330" s="1"/>
  <c r="E49" i="241"/>
  <c r="E26" i="241"/>
  <c r="E125" i="330"/>
  <c r="E256" i="330" s="1"/>
  <c r="A1" i="181"/>
  <c r="A1" i="317"/>
  <c r="A1" i="242"/>
  <c r="A1" i="325"/>
  <c r="A1" i="174"/>
  <c r="H39" i="272"/>
  <c r="J193" i="324"/>
  <c r="I7" i="242"/>
  <c r="J7" i="242" s="1"/>
  <c r="F247" i="330"/>
  <c r="F257" i="330" s="1"/>
  <c r="E20" i="267"/>
  <c r="E23" i="267" s="1"/>
  <c r="E25" i="267" s="1"/>
  <c r="J50" i="267"/>
  <c r="F40" i="268"/>
  <c r="F86" i="268" s="1"/>
  <c r="G247" i="330"/>
  <c r="G257" i="330" s="1"/>
  <c r="F125" i="330"/>
  <c r="F256" i="330" s="1"/>
  <c r="G125" i="330"/>
  <c r="G256" i="330" s="1"/>
  <c r="H166" i="333"/>
  <c r="H64" i="269"/>
  <c r="I33" i="269"/>
  <c r="J33" i="269" s="1"/>
  <c r="H21" i="268"/>
  <c r="H40" i="268" s="1"/>
  <c r="G28" i="267" s="1"/>
  <c r="G40" i="272"/>
  <c r="I26" i="330"/>
  <c r="J26" i="330" s="1"/>
  <c r="G166" i="333"/>
  <c r="F166" i="333"/>
  <c r="J8" i="269"/>
  <c r="G39" i="174"/>
  <c r="F43" i="178"/>
  <c r="F54" i="178" s="1"/>
  <c r="I314" i="324"/>
  <c r="J314" i="324" s="1"/>
  <c r="F316" i="324"/>
  <c r="J204" i="324"/>
  <c r="I29" i="268"/>
  <c r="J29" i="268" s="1"/>
  <c r="G40" i="268"/>
  <c r="G46" i="174" s="1"/>
  <c r="G8" i="174" s="1"/>
  <c r="G316" i="324"/>
  <c r="I63" i="268"/>
  <c r="F20" i="267"/>
  <c r="F23" i="267" s="1"/>
  <c r="F25" i="267" s="1"/>
  <c r="H11" i="267"/>
  <c r="I11" i="267" s="1"/>
  <c r="F341" i="323"/>
  <c r="F40" i="272"/>
  <c r="G49" i="241"/>
  <c r="F49" i="241"/>
  <c r="I20" i="241"/>
  <c r="J20" i="241" s="1"/>
  <c r="I16" i="241"/>
  <c r="J16" i="241" s="1"/>
  <c r="I10" i="241"/>
  <c r="J10" i="241" s="1"/>
  <c r="H166" i="335"/>
  <c r="H166" i="325"/>
  <c r="I7" i="326"/>
  <c r="J7" i="326" s="1"/>
  <c r="H166" i="326"/>
  <c r="I166" i="326" s="1"/>
  <c r="J166" i="326" s="1"/>
  <c r="H166" i="242"/>
  <c r="I166" i="242" s="1"/>
  <c r="J166" i="242" s="1"/>
  <c r="I75" i="242"/>
  <c r="J75" i="242" s="1"/>
  <c r="I38" i="181"/>
  <c r="J38" i="181" s="1"/>
  <c r="H44" i="181"/>
  <c r="I44" i="181" s="1"/>
  <c r="J44" i="181" s="1"/>
  <c r="I42" i="181"/>
  <c r="J42" i="181" s="1"/>
  <c r="I106" i="318"/>
  <c r="J106" i="318" s="1"/>
  <c r="I14" i="318"/>
  <c r="J14" i="318" s="1"/>
  <c r="H49" i="318"/>
  <c r="I62" i="269"/>
  <c r="J62" i="269" s="1"/>
  <c r="J36" i="269"/>
  <c r="H61" i="270"/>
  <c r="H63" i="270" s="1"/>
  <c r="J36" i="270"/>
  <c r="I61" i="270"/>
  <c r="I33" i="270"/>
  <c r="I25" i="268"/>
  <c r="J160" i="324"/>
  <c r="H316" i="324"/>
  <c r="I145" i="324"/>
  <c r="J145" i="324" s="1"/>
  <c r="J6" i="268"/>
  <c r="I21" i="268"/>
  <c r="H63" i="268"/>
  <c r="I36" i="182"/>
  <c r="H38" i="182"/>
  <c r="H42" i="182" s="1"/>
  <c r="H44" i="182" s="1"/>
  <c r="H46" i="182" s="1"/>
  <c r="H48" i="182" s="1"/>
  <c r="G18" i="267"/>
  <c r="I7" i="272"/>
  <c r="H21" i="272"/>
  <c r="I171" i="323"/>
  <c r="J171" i="323" s="1"/>
  <c r="H341" i="323"/>
  <c r="H48" i="241"/>
  <c r="I48" i="241" s="1"/>
  <c r="J48" i="241" s="1"/>
  <c r="I240" i="330"/>
  <c r="J240" i="330" s="1"/>
  <c r="I43" i="241"/>
  <c r="J43" i="241" s="1"/>
  <c r="J44" i="241"/>
  <c r="J222" i="330"/>
  <c r="I221" i="330"/>
  <c r="J221" i="330" s="1"/>
  <c r="I214" i="330"/>
  <c r="J214" i="330" s="1"/>
  <c r="H42" i="241"/>
  <c r="I42" i="241" s="1"/>
  <c r="J42" i="241" s="1"/>
  <c r="H197" i="330"/>
  <c r="I197" i="330" s="1"/>
  <c r="J197" i="330" s="1"/>
  <c r="H40" i="241"/>
  <c r="I198" i="330"/>
  <c r="J198" i="330" s="1"/>
  <c r="H34" i="241"/>
  <c r="H148" i="330"/>
  <c r="I148" i="330" s="1"/>
  <c r="J148" i="330" s="1"/>
  <c r="I149" i="330"/>
  <c r="J149" i="330" s="1"/>
  <c r="I31" i="241"/>
  <c r="J31" i="241" s="1"/>
  <c r="H29" i="241"/>
  <c r="I128" i="330"/>
  <c r="H6" i="241"/>
  <c r="I6" i="241" s="1"/>
  <c r="H125" i="330"/>
  <c r="I6" i="330"/>
  <c r="J6" i="330" s="1"/>
  <c r="C50" i="241" l="1"/>
  <c r="J24" i="272"/>
  <c r="E171" i="242"/>
  <c r="E171" i="335"/>
  <c r="E171" i="326"/>
  <c r="I166" i="325"/>
  <c r="J166" i="325" s="1"/>
  <c r="B34" i="172"/>
  <c r="H12" i="180"/>
  <c r="I12" i="180" s="1"/>
  <c r="J12" i="180"/>
  <c r="I166" i="335"/>
  <c r="J166" i="335" s="1"/>
  <c r="H11" i="180"/>
  <c r="B33" i="172"/>
  <c r="J11" i="180"/>
  <c r="I11" i="180"/>
  <c r="B32" i="172"/>
  <c r="J10" i="180"/>
  <c r="H10" i="180"/>
  <c r="I10" i="180" s="1"/>
  <c r="I341" i="323"/>
  <c r="J341" i="323" s="1"/>
  <c r="K171" i="335"/>
  <c r="K171" i="242"/>
  <c r="K86" i="268"/>
  <c r="H46" i="174"/>
  <c r="H8" i="174" s="1"/>
  <c r="K171" i="326"/>
  <c r="J39" i="272"/>
  <c r="H9" i="180"/>
  <c r="I9" i="180" s="1"/>
  <c r="B31" i="172"/>
  <c r="J9" i="180"/>
  <c r="K50" i="241"/>
  <c r="K248" i="330"/>
  <c r="E86" i="268"/>
  <c r="F46" i="174"/>
  <c r="F8" i="174" s="1"/>
  <c r="E50" i="241"/>
  <c r="E248" i="330"/>
  <c r="H40" i="272"/>
  <c r="F248" i="330"/>
  <c r="G248" i="330"/>
  <c r="F171" i="335"/>
  <c r="F171" i="242"/>
  <c r="E28" i="267"/>
  <c r="I316" i="324"/>
  <c r="J316" i="324" s="1"/>
  <c r="F171" i="326"/>
  <c r="G86" i="268"/>
  <c r="F28" i="267"/>
  <c r="H28" i="267" s="1"/>
  <c r="I28" i="267" s="1"/>
  <c r="G171" i="335"/>
  <c r="G171" i="326"/>
  <c r="G171" i="242"/>
  <c r="I166" i="333"/>
  <c r="J166" i="333" s="1"/>
  <c r="I63" i="270"/>
  <c r="J63" i="270" s="1"/>
  <c r="J33" i="270"/>
  <c r="H86" i="268"/>
  <c r="J63" i="268"/>
  <c r="H26" i="241"/>
  <c r="F50" i="241"/>
  <c r="G50" i="241"/>
  <c r="H171" i="242"/>
  <c r="H171" i="335"/>
  <c r="H171" i="326"/>
  <c r="H104" i="318"/>
  <c r="I104" i="318" s="1"/>
  <c r="J104" i="318" s="1"/>
  <c r="I49" i="318"/>
  <c r="J49" i="318" s="1"/>
  <c r="I64" i="269"/>
  <c r="J64" i="269" s="1"/>
  <c r="J61" i="270"/>
  <c r="I39" i="268"/>
  <c r="J39" i="268" s="1"/>
  <c r="J25" i="268"/>
  <c r="J21" i="268"/>
  <c r="J36" i="182"/>
  <c r="I38" i="182"/>
  <c r="J38" i="182" s="1"/>
  <c r="H18" i="267"/>
  <c r="I18" i="267" s="1"/>
  <c r="G19" i="267"/>
  <c r="J7" i="272"/>
  <c r="I21" i="272"/>
  <c r="I40" i="241"/>
  <c r="J40" i="241" s="1"/>
  <c r="H39" i="241"/>
  <c r="I39" i="241" s="1"/>
  <c r="J39" i="241" s="1"/>
  <c r="H247" i="330"/>
  <c r="H257" i="330" s="1"/>
  <c r="H33" i="241"/>
  <c r="I33" i="241" s="1"/>
  <c r="J33" i="241" s="1"/>
  <c r="I34" i="241"/>
  <c r="J34" i="241" s="1"/>
  <c r="I29" i="241"/>
  <c r="J128" i="330"/>
  <c r="I247" i="330"/>
  <c r="I26" i="241"/>
  <c r="J6" i="241"/>
  <c r="H256" i="330"/>
  <c r="I125" i="330"/>
  <c r="I40" i="268" l="1"/>
  <c r="J40" i="268" s="1"/>
  <c r="H19" i="267"/>
  <c r="I19" i="267" s="1"/>
  <c r="G20" i="267"/>
  <c r="I40" i="272"/>
  <c r="J40" i="272" s="1"/>
  <c r="J21" i="272"/>
  <c r="H49" i="241"/>
  <c r="H50" i="241" s="1"/>
  <c r="H248" i="330"/>
  <c r="I248" i="330" s="1"/>
  <c r="J248" i="330" s="1"/>
  <c r="J247" i="330"/>
  <c r="I257" i="330"/>
  <c r="J29" i="241"/>
  <c r="I49" i="241"/>
  <c r="I256" i="330"/>
  <c r="J125" i="330"/>
  <c r="J26" i="241"/>
  <c r="H20" i="267" l="1"/>
  <c r="I20" i="267" s="1"/>
  <c r="G23" i="267"/>
  <c r="J49" i="241"/>
  <c r="I50" i="241"/>
  <c r="J50" i="241" s="1"/>
  <c r="H23" i="267" l="1"/>
  <c r="I23" i="267" s="1"/>
  <c r="G25" i="267"/>
  <c r="H25" i="267" s="1"/>
  <c r="I25" i="267" s="1"/>
  <c r="N7" i="317"/>
  <c r="N10" i="317"/>
  <c r="N21" i="317" s="1"/>
  <c r="N33" i="317" s="1"/>
  <c r="N54" i="317" s="1"/>
  <c r="N66" i="317" l="1"/>
  <c r="N56" i="317"/>
</calcChain>
</file>

<file path=xl/sharedStrings.xml><?xml version="1.0" encoding="utf-8"?>
<sst xmlns="http://schemas.openxmlformats.org/spreadsheetml/2006/main" count="3028" uniqueCount="1489">
  <si>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</si>
  <si>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</si>
  <si>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</si>
  <si>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</si>
  <si>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</si>
  <si>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</si>
  <si>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</si>
  <si>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</si>
  <si>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</si>
  <si>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</si>
  <si>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</si>
  <si>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</si>
  <si>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</si>
  <si>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</si>
  <si>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</si>
  <si>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</si>
  <si>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</si>
  <si>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</si>
  <si>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</si>
  <si>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</si>
  <si>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</si>
  <si>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</si>
  <si>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</si>
  <si>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</si>
  <si>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</si>
  <si>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</si>
  <si>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</si>
  <si>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</si>
  <si>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</si>
  <si>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</si>
  <si>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</si>
  <si>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</si>
  <si>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</si>
  <si>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</si>
  <si>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</si>
  <si>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</si>
  <si>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</si>
  <si>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</si>
  <si>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</si>
  <si>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</si>
  <si>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</si>
  <si>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</si>
  <si>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</si>
  <si>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</si>
  <si>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</si>
  <si>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</si>
  <si>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</si>
  <si>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</si>
  <si>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</si>
  <si>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</si>
  <si>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</si>
  <si>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</si>
  <si>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</si>
  <si>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</si>
  <si>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</si>
  <si>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</si>
  <si>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</si>
  <si>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</si>
  <si>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</si>
  <si>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</si>
  <si>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</si>
  <si>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</si>
  <si>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</si>
  <si>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</si>
  <si>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</si>
  <si>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</si>
  <si>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</si>
  <si>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</si>
  <si>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</si>
  <si>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</si>
  <si>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</si>
  <si>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</si>
  <si>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</si>
  <si>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</si>
  <si>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</si>
  <si>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</si>
  <si>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</si>
  <si>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</si>
  <si>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</si>
  <si>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</si>
  <si>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</si>
  <si>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</si>
  <si>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</si>
  <si>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</si>
  <si>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</si>
  <si>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</si>
  <si>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</si>
  <si>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</si>
  <si>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</si>
  <si>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</si>
  <si>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</si>
  <si>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</si>
  <si>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</si>
  <si>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</si>
  <si>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</si>
  <si>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</si>
  <si>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</si>
  <si>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</si>
  <si>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</si>
  <si>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</si>
  <si>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</si>
  <si>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</si>
  <si>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</si>
  <si>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</si>
  <si>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</si>
  <si>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</si>
  <si>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</si>
  <si>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</si>
  <si>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</si>
  <si>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</si>
  <si>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</si>
  <si>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</si>
  <si>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</si>
  <si>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</si>
  <si>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</si>
  <si>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</si>
  <si>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</si>
  <si>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</si>
  <si>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</si>
  <si>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</si>
  <si>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</si>
  <si>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</si>
  <si>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</si>
  <si>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</si>
  <si>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</si>
  <si>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</si>
  <si>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</si>
  <si>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</si>
  <si>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</si>
  <si>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</si>
  <si>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</si>
  <si>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</si>
  <si>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</si>
  <si>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</si>
  <si>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</si>
  <si>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</si>
  <si>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</si>
  <si>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</si>
  <si>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</si>
  <si>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</si>
  <si>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</si>
  <si>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</si>
  <si>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</si>
  <si>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</si>
  <si>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</si>
  <si>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</si>
  <si>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</si>
  <si>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</si>
  <si>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</si>
  <si>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</si>
  <si>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</si>
  <si>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</si>
  <si>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</si>
  <si>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</si>
  <si>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</si>
  <si>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</si>
  <si>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</si>
  <si>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</si>
  <si>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</si>
  <si>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</si>
  <si>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</si>
  <si>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</si>
  <si>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</si>
  <si>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</si>
  <si>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</si>
  <si>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</si>
  <si>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</si>
  <si>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</si>
  <si>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</si>
  <si>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</si>
  <si>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</si>
  <si>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</si>
  <si>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</si>
  <si>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</si>
  <si>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</si>
  <si>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</si>
  <si>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</si>
  <si>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</si>
  <si>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</si>
  <si>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</si>
  <si>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</si>
  <si>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</si>
  <si>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</si>
  <si>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</si>
  <si>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</si>
  <si>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</si>
  <si>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</si>
  <si>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</si>
  <si>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</si>
  <si>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</si>
  <si>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</si>
  <si>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</si>
  <si>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</si>
  <si>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</si>
  <si>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</si>
  <si>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</si>
  <si>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</si>
  <si>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</si>
  <si>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</si>
  <si>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</si>
  <si>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</si>
  <si>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</si>
  <si>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</si>
  <si>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</si>
  <si>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</si>
  <si>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</si>
  <si>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</si>
  <si>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</si>
  <si>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</si>
  <si>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</si>
  <si>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</si>
  <si>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</si>
  <si>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</si>
  <si>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</si>
  <si>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</si>
  <si>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</si>
  <si>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</si>
  <si>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</si>
  <si>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</si>
  <si>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</si>
  <si>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</si>
  <si>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</si>
  <si>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</si>
  <si>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</si>
  <si>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</si>
  <si>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</si>
  <si>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</si>
  <si>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</si>
  <si>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</si>
  <si>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</si>
  <si>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</si>
  <si>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</si>
  <si>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</si>
  <si>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</si>
  <si>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</si>
  <si>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</si>
  <si>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</si>
  <si>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</si>
  <si>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</si>
  <si>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</si>
  <si>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</si>
  <si>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</si>
  <si>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</si>
  <si>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</si>
  <si>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</si>
  <si>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</si>
  <si>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</si>
  <si>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</si>
  <si>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</si>
  <si>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</si>
  <si>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</si>
  <si>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</si>
  <si>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</si>
  <si>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</si>
  <si>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</si>
  <si>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</si>
  <si>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</si>
  <si>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</si>
  <si>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</si>
  <si>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</si>
  <si>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</si>
  <si>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</si>
  <si>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</si>
  <si>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</si>
  <si>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</si>
  <si>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</si>
  <si>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</si>
  <si>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</si>
  <si>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</si>
  <si>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</si>
  <si>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</si>
  <si>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</si>
  <si>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</si>
  <si>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</si>
  <si>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</si>
  <si>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</si>
  <si>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</si>
  <si>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</si>
  <si>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</si>
  <si>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</si>
  <si>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</si>
  <si>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</si>
  <si>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</si>
  <si>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</si>
  <si>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</si>
  <si>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</si>
  <si>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</si>
  <si>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</si>
  <si>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</si>
  <si>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</si>
  <si>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</si>
  <si>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</si>
  <si>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</si>
  <si>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</si>
  <si>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</si>
  <si>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</si>
  <si>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</si>
  <si>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</si>
  <si>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</si>
  <si>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</si>
  <si>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</si>
  <si>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</si>
  <si>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</si>
  <si>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</si>
  <si>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</si>
  <si>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</si>
  <si>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</si>
  <si>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</si>
  <si>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</si>
  <si>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</si>
  <si>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</si>
  <si>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</si>
  <si>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</si>
  <si>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</si>
  <si>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</si>
  <si>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</si>
  <si>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</si>
  <si>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</si>
  <si>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</si>
  <si>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</si>
  <si>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</si>
  <si>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</si>
  <si>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</si>
  <si>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</si>
  <si>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</si>
  <si>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</si>
  <si>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</si>
  <si>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</si>
  <si>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</si>
  <si>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</si>
  <si>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</si>
  <si>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</si>
  <si>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</si>
  <si>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</si>
  <si>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</si>
  <si>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</si>
  <si>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</si>
  <si>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</si>
  <si>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</si>
  <si>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</si>
  <si>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</si>
  <si>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</si>
  <si>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</si>
  <si>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</si>
  <si>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</si>
  <si>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</si>
  <si>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</si>
  <si>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</si>
  <si>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</si>
  <si>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</si>
  <si>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</si>
  <si>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</si>
  <si>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</si>
  <si>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</si>
  <si>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</si>
  <si>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</si>
  <si>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</si>
  <si>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</si>
  <si>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</si>
  <si>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</si>
  <si>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</si>
  <si>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</si>
  <si>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</si>
  <si>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</si>
  <si>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</si>
  <si>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</si>
  <si>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</si>
  <si>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</si>
  <si>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</si>
  <si>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</si>
  <si>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</si>
  <si>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</si>
  <si>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</si>
  <si>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</si>
  <si>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</si>
  <si>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</si>
  <si>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</si>
  <si>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</si>
  <si>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</si>
  <si>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</si>
  <si>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</si>
  <si>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</si>
  <si>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</si>
  <si>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</si>
  <si>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</si>
  <si>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</si>
  <si>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</si>
  <si>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</si>
  <si>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</si>
  <si>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</si>
  <si>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</si>
  <si>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</si>
  <si>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</si>
  <si>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</si>
  <si>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</si>
  <si>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</si>
  <si>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</si>
  <si>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</si>
  <si>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</si>
  <si>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</si>
  <si>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</si>
  <si>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</si>
  <si>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</si>
  <si>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</si>
  <si>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</si>
  <si>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</si>
  <si>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</si>
  <si>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</si>
  <si>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</si>
  <si>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</si>
  <si>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</si>
  <si>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</si>
  <si>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</si>
  <si>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</si>
  <si>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</si>
  <si>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</si>
  <si>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</si>
  <si>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</si>
  <si>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</si>
  <si>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</si>
  <si>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</si>
  <si>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</si>
  <si>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</si>
  <si>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</si>
  <si>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</si>
  <si>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</si>
  <si>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</si>
  <si>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</si>
  <si>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</si>
  <si>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</si>
  <si>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</si>
  <si>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</si>
  <si>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</si>
  <si>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</si>
  <si>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</si>
  <si>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</si>
  <si>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</si>
  <si>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</si>
  <si>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</si>
  <si>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</si>
  <si>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</si>
  <si>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</si>
  <si>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</si>
  <si>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</si>
  <si>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</si>
  <si>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</si>
  <si>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</si>
  <si>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</si>
  <si>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</si>
  <si>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</si>
  <si>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</si>
  <si>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</si>
  <si>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</si>
  <si>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</si>
  <si>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</si>
  <si>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</si>
  <si>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</si>
  <si>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</si>
  <si>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</si>
  <si>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</si>
  <si>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</si>
  <si>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</si>
  <si>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</si>
  <si>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</si>
  <si>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</si>
  <si>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</si>
  <si>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</si>
  <si>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</si>
  <si>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</si>
  <si>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</si>
  <si>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</si>
  <si>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</si>
  <si>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</si>
  <si>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</si>
  <si>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</si>
  <si>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</si>
  <si>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</si>
  <si>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</si>
  <si>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</si>
  <si>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</si>
  <si>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</si>
  <si>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</si>
  <si>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</si>
  <si>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</si>
  <si>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</si>
  <si>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</si>
  <si>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</si>
  <si>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</si>
  <si>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</si>
  <si>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</si>
  <si>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</si>
  <si>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</si>
  <si>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</si>
  <si>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</si>
  <si>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</si>
  <si>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</si>
  <si>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</si>
  <si>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</si>
  <si>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</si>
  <si>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</si>
  <si>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</si>
  <si>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</si>
  <si>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</si>
  <si>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</si>
  <si>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</si>
  <si>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</si>
  <si>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</si>
  <si>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</si>
  <si>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</si>
  <si>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</si>
  <si>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</si>
  <si>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</si>
  <si>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</si>
  <si>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</si>
  <si>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</si>
  <si>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</si>
  <si>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</si>
  <si>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</si>
  <si>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</si>
  <si>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</si>
  <si>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</si>
  <si>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</si>
  <si>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</si>
  <si>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</si>
  <si>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</si>
  <si>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</si>
  <si>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</si>
  <si>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</si>
  <si>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</si>
  <si>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</si>
  <si>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</si>
  <si>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</si>
  <si>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</si>
  <si>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</si>
  <si>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</si>
  <si>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</si>
  <si>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</si>
  <si>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</si>
  <si>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</si>
  <si>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</si>
  <si>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</si>
  <si>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</si>
  <si>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</si>
  <si>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</si>
  <si>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</si>
  <si>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</si>
  <si>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</si>
  <si>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</si>
  <si>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</si>
  <si>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</si>
  <si>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</si>
  <si>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</si>
  <si>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</si>
  <si>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</si>
  <si>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</si>
  <si>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</si>
  <si>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</si>
  <si>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</si>
  <si>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</si>
  <si>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</si>
  <si>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</si>
  <si>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</si>
  <si>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</si>
  <si>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</si>
  <si>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</si>
  <si>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</si>
  <si>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</si>
  <si>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</si>
  <si>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</si>
  <si>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</si>
  <si>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</si>
  <si>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</si>
  <si>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</si>
  <si>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</si>
  <si>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</si>
  <si>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</si>
  <si>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</si>
  <si>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</si>
  <si>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</si>
  <si>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</si>
  <si>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</si>
  <si>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</si>
  <si>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</si>
  <si>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</si>
  <si>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</si>
  <si>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</si>
  <si>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</si>
  <si>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</si>
  <si>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</si>
  <si>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</si>
  <si>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</si>
  <si>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</si>
  <si>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</si>
  <si>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</si>
  <si>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</si>
  <si>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</si>
  <si>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</si>
  <si>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</si>
  <si>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</si>
  <si>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</si>
  <si>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</si>
  <si>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</si>
  <si>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</si>
  <si>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</si>
  <si>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</si>
  <si>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</si>
  <si>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</si>
  <si>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</si>
  <si>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</si>
  <si>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</si>
  <si>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</si>
  <si>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</si>
  <si>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</si>
  <si>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</si>
  <si>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</si>
  <si>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</si>
  <si>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</si>
  <si>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</si>
  <si>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</si>
  <si>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</si>
  <si>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</si>
  <si>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</si>
  <si>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</si>
  <si>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</si>
  <si>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</si>
  <si>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</si>
  <si>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</si>
  <si>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</si>
  <si>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</si>
  <si>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</si>
  <si>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</si>
  <si>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</si>
  <si>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</si>
  <si>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</si>
  <si>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</si>
  <si>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</si>
  <si>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</si>
  <si>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</si>
  <si>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</si>
  <si>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</si>
  <si>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</si>
  <si>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</si>
  <si>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</si>
  <si>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</si>
  <si>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</si>
  <si>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</si>
  <si>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</si>
  <si>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</si>
  <si>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</si>
  <si>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</si>
  <si>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</si>
  <si>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</si>
  <si>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</si>
  <si>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</si>
  <si>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</si>
  <si>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</si>
  <si>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</si>
  <si>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</si>
  <si>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</si>
  <si>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</si>
  <si>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</si>
  <si>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</si>
  <si>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</si>
  <si>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</si>
  <si>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</si>
  <si>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</si>
  <si>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</si>
  <si>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</si>
  <si>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</si>
  <si>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</si>
  <si>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</si>
  <si>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</si>
  <si>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</si>
  <si>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</si>
  <si>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</si>
  <si>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</si>
  <si>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</si>
  <si>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</si>
  <si>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</si>
  <si>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</si>
  <si>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</si>
  <si>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</si>
  <si>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</si>
  <si>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</si>
  <si>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</si>
  <si>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</si>
  <si>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</si>
  <si>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</si>
  <si>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</si>
  <si>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</si>
  <si>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</si>
  <si>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</si>
  <si>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</si>
  <si>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</si>
  <si>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</si>
  <si>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</si>
  <si>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</si>
  <si>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</si>
  <si>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</si>
  <si>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</si>
  <si>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</si>
  <si>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</si>
  <si>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</si>
  <si>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</si>
  <si>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</si>
  <si>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</si>
  <si>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</si>
  <si>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</si>
  <si>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</si>
  <si>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</si>
  <si>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</si>
  <si>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</si>
  <si>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</si>
  <si>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</si>
  <si>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</si>
  <si>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</si>
  <si>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</si>
  <si>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</si>
  <si>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</si>
  <si>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</si>
  <si>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</si>
  <si>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</si>
  <si>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</si>
  <si>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</si>
  <si>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</si>
  <si>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</si>
  <si>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</si>
  <si>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</si>
  <si>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</si>
  <si>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</si>
  <si>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</si>
  <si>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</si>
  <si>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</si>
  <si>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</si>
  <si>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</si>
  <si>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</si>
  <si>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</si>
  <si>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</si>
  <si>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</si>
  <si>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</si>
  <si>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</si>
  <si>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</si>
  <si>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</si>
  <si>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</si>
  <si>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</si>
  <si>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</si>
  <si>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</si>
  <si>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</si>
  <si>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</si>
  <si>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</si>
  <si>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</si>
  <si>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</si>
  <si>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</si>
  <si>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</si>
  <si>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</si>
  <si>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</si>
  <si>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</si>
  <si>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</si>
  <si>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</si>
  <si>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</si>
  <si>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</si>
  <si>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</si>
  <si>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</si>
  <si>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</si>
  <si>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</si>
  <si>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</si>
  <si>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</si>
  <si>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</si>
  <si>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</si>
  <si>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</si>
  <si>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</si>
  <si>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</si>
  <si>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</si>
  <si>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</si>
  <si>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</si>
  <si>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</si>
  <si>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</si>
  <si>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</si>
  <si>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</si>
  <si>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</si>
  <si>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</si>
  <si>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</si>
  <si>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</si>
  <si>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</si>
  <si>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</si>
  <si>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</si>
  <si>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</si>
  <si>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</si>
  <si>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</si>
  <si>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</si>
  <si>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</si>
  <si>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</si>
  <si>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</si>
  <si>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</si>
  <si>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</si>
  <si>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</si>
  <si>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</si>
  <si>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</si>
  <si>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</si>
  <si>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</si>
  <si>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</si>
  <si>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</si>
  <si>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</si>
  <si>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</si>
  <si>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</si>
  <si>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</si>
  <si>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</si>
  <si>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</si>
  <si>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</si>
  <si>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</si>
  <si>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</si>
  <si>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</si>
  <si>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</si>
  <si>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</si>
  <si>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</si>
  <si>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</si>
  <si>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</si>
  <si>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</si>
  <si>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</si>
  <si>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</si>
  <si>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</si>
  <si>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</si>
  <si>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</si>
  <si>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</si>
  <si>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</si>
  <si>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</si>
  <si>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</si>
  <si>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</si>
  <si>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</si>
  <si>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</si>
  <si>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</si>
  <si>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</si>
  <si>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</si>
  <si>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</si>
  <si>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</si>
  <si>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</si>
  <si>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</si>
  <si>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</si>
  <si>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</si>
  <si>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</si>
  <si>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</si>
  <si>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</si>
  <si>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</si>
  <si>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</si>
  <si>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</si>
  <si>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</si>
  <si>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</si>
  <si>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</si>
  <si>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</si>
  <si>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</si>
  <si>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</si>
  <si>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</si>
  <si>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</si>
  <si>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</si>
  <si>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</si>
  <si>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</si>
  <si>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</si>
  <si>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</si>
  <si>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</si>
  <si>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</si>
  <si>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</si>
  <si>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</si>
  <si>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</si>
  <si>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</si>
  <si>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</si>
  <si>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</si>
  <si>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</si>
  <si>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</si>
  <si>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</si>
  <si>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</si>
  <si>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</si>
  <si>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</si>
  <si>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</si>
  <si>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</si>
  <si>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</si>
  <si>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</si>
  <si>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</si>
  <si>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</si>
  <si>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</si>
  <si>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</si>
  <si>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</si>
  <si>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</si>
  <si>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</si>
  <si>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</si>
  <si>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</si>
  <si>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</si>
  <si>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</si>
  <si>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</si>
  <si>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</si>
  <si>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</si>
  <si>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</si>
  <si>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</si>
  <si>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</si>
  <si>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</si>
  <si>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</si>
  <si>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</si>
  <si>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</si>
  <si>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</si>
  <si>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</si>
  <si>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</si>
  <si>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</si>
  <si>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</si>
  <si>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</si>
  <si>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</si>
  <si>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</si>
  <si>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</si>
  <si>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</si>
  <si>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</si>
  <si>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</si>
  <si>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</si>
  <si>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</si>
  <si>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</si>
  <si>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</si>
  <si>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</si>
  <si>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</si>
  <si>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</si>
  <si>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</si>
  <si>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</si>
  <si>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</si>
  <si>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</si>
  <si>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</si>
  <si>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</si>
  <si>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</si>
  <si>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</si>
  <si>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</si>
  <si>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</si>
  <si>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</si>
  <si>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</si>
  <si>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</si>
  <si>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</si>
  <si>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</si>
  <si>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</si>
  <si>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</si>
  <si>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</si>
  <si>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</si>
  <si>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</si>
  <si>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</si>
  <si>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</si>
  <si>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</si>
  <si>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</si>
  <si>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</si>
  <si>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</si>
  <si>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</si>
  <si>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</si>
  <si>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</si>
  <si>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</si>
  <si>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</si>
  <si>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</si>
  <si>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</si>
  <si>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</si>
  <si>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</si>
  <si>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</si>
  <si>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</si>
  <si>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</si>
  <si>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</si>
  <si>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</si>
  <si>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</si>
  <si>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</si>
  <si>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</si>
  <si>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</si>
  <si>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</si>
  <si>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</si>
  <si>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</si>
  <si>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</si>
  <si>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</si>
  <si>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</si>
  <si>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</si>
  <si>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</si>
  <si>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</si>
  <si>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</si>
  <si>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</si>
  <si>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</si>
  <si>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</si>
  <si>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</si>
  <si>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</si>
  <si>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</si>
  <si>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</si>
  <si>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</si>
  <si>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</si>
  <si>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</si>
  <si>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</si>
  <si>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</si>
  <si>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</si>
  <si>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</si>
  <si>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</si>
  <si>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</si>
  <si>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</si>
  <si>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</si>
  <si>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</si>
  <si>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</si>
  <si>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</si>
  <si>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</si>
  <si>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</si>
  <si>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</si>
  <si>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</si>
  <si>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</si>
  <si>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</si>
  <si>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</si>
  <si>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</si>
  <si>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</si>
  <si>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</si>
  <si>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</si>
  <si>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</si>
  <si>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</si>
  <si>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</si>
  <si>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</si>
  <si>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</si>
  <si>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</si>
  <si>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</si>
  <si>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</si>
  <si>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</si>
  <si>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</si>
  <si>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</si>
  <si>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</si>
  <si>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</si>
  <si>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</si>
  <si>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</si>
  <si>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</si>
  <si>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</si>
  <si>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</si>
  <si>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</si>
  <si>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</si>
  <si>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</si>
  <si>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</si>
  <si>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</si>
  <si>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</si>
  <si>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</si>
  <si>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</si>
  <si>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</si>
  <si>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</si>
  <si>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</si>
  <si>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</si>
  <si>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</si>
  <si>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</si>
  <si>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</si>
  <si>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</si>
  <si>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</si>
  <si>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</si>
  <si>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</si>
  <si>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</si>
  <si>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</si>
  <si>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</si>
  <si>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</si>
  <si>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</si>
  <si>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</si>
  <si>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</si>
  <si>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</si>
  <si>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</si>
  <si>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</si>
  <si>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</si>
  <si>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</si>
  <si>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</si>
  <si>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</si>
  <si>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</si>
  <si>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</si>
  <si>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</si>
  <si>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</si>
  <si>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</si>
  <si>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</si>
  <si>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</si>
  <si>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</si>
  <si>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</si>
  <si>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</si>
  <si>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</si>
  <si>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</si>
  <si>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</si>
  <si>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</si>
  <si>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</si>
  <si>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</si>
  <si>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</si>
  <si>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</si>
  <si>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</si>
  <si>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</si>
  <si>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</si>
  <si>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</si>
  <si>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</si>
  <si>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</si>
  <si>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</si>
  <si>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</si>
  <si>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</si>
  <si>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</si>
  <si>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</si>
  <si>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</si>
  <si>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</si>
  <si>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</si>
  <si>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</si>
  <si>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</si>
  <si>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</si>
  <si>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</si>
  <si>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</si>
  <si>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</si>
  <si>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</si>
  <si>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</si>
  <si>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</si>
  <si>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</si>
  <si>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</si>
  <si>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</si>
  <si>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</si>
  <si>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</si>
  <si>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</si>
  <si>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</si>
  <si>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</si>
  <si>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</si>
  <si>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</si>
  <si>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</si>
  <si>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</si>
  <si>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</si>
  <si>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</si>
  <si>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</si>
  <si>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</si>
  <si>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</si>
  <si>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</si>
  <si>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</si>
  <si>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</si>
  <si>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</si>
  <si>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</si>
  <si>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</si>
  <si>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</si>
  <si>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</si>
  <si>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</si>
  <si>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</si>
  <si>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</si>
  <si>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</si>
  <si>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</si>
  <si>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</si>
  <si>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</si>
  <si>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</si>
  <si>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</si>
  <si>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</si>
  <si>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</si>
  <si>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</si>
  <si>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</si>
  <si>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</si>
  <si>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</si>
  <si>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</si>
  <si>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</si>
  <si>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</si>
  <si>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</si>
  <si>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</si>
  <si>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</si>
  <si>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</si>
  <si>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</si>
  <si>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</si>
  <si>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</si>
  <si>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</si>
  <si>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</si>
  <si>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</si>
  <si>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</si>
  <si>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</si>
  <si>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</si>
  <si>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</si>
  <si>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</si>
  <si>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</si>
  <si>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</si>
  <si>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</si>
  <si>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</si>
  <si>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</si>
  <si>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</si>
  <si>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</si>
  <si>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</si>
  <si>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</si>
  <si>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</si>
  <si>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</si>
  <si>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</si>
  <si>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</si>
  <si>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</si>
  <si>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</si>
  <si>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</si>
  <si>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</si>
  <si>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</si>
  <si>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</si>
  <si>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</si>
  <si>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</si>
  <si>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</si>
  <si>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</si>
  <si>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</si>
  <si>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</si>
  <si>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</si>
  <si>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</si>
  <si>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</si>
  <si>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</si>
  <si>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</si>
  <si>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</si>
  <si>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</si>
  <si>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</si>
  <si>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</si>
  <si>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</si>
  <si>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</si>
  <si>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</si>
  <si>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</si>
  <si>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</si>
  <si>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</si>
  <si>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</si>
  <si>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</si>
  <si>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</si>
  <si>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</si>
  <si>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</si>
  <si>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</si>
  <si>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</si>
  <si>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</si>
  <si>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</si>
  <si>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</si>
  <si>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</si>
  <si>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</si>
  <si>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</si>
  <si>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</si>
  <si>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</si>
  <si>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</si>
  <si>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</si>
  <si>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</si>
  <si>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</si>
  <si>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</si>
  <si>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</si>
  <si>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</si>
  <si>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</si>
  <si>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</si>
  <si>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</si>
  <si>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</si>
  <si>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</si>
  <si>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</si>
  <si>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</si>
  <si>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</si>
  <si>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</si>
  <si>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</si>
  <si>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</si>
  <si>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</si>
  <si>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</si>
  <si>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</si>
  <si>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</si>
  <si>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</si>
  <si>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</si>
  <si>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</si>
  <si>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</si>
  <si>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</si>
  <si>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</si>
  <si>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</si>
  <si>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</si>
  <si>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</si>
  <si>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</si>
  <si>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</si>
  <si>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</si>
  <si>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</si>
  <si>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</si>
  <si>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</si>
  <si>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</si>
  <si>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</si>
  <si>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</si>
  <si>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</si>
  <si>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</si>
  <si>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</si>
  <si>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</si>
  <si>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</si>
  <si>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</si>
  <si>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</si>
  <si>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</si>
  <si>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</si>
  <si>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</si>
  <si>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</si>
  <si>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</si>
  <si>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</si>
  <si>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</si>
  <si>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</si>
  <si>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</si>
  <si>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</si>
  <si>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</si>
  <si>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</si>
  <si>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</si>
  <si>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</si>
  <si>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</si>
  <si>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</si>
  <si>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</si>
  <si>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</si>
  <si>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</si>
  <si>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</si>
  <si>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</si>
  <si>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</si>
  <si>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</si>
  <si>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</si>
  <si>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</si>
  <si>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</si>
  <si>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</si>
  <si>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</si>
  <si>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</si>
  <si>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</si>
  <si>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</si>
  <si>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</si>
  <si>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</si>
  <si>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</si>
  <si>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</si>
  <si>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</si>
  <si>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</si>
  <si>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</si>
  <si>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</si>
  <si>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</si>
  <si>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</si>
  <si>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</si>
  <si>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</si>
  <si>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</si>
  <si>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</si>
  <si>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</si>
  <si>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</si>
  <si>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</si>
  <si>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</si>
  <si>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</si>
  <si>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</si>
  <si>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</si>
  <si>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</si>
  <si>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</si>
  <si>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</si>
  <si>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</si>
  <si>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</si>
  <si>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</si>
  <si>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</si>
  <si>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</si>
  <si>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</si>
  <si>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</si>
  <si>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</si>
  <si>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</si>
  <si>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</si>
  <si>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</si>
  <si>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</si>
  <si>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</si>
  <si>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</si>
  <si>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</si>
  <si>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</si>
  <si>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</si>
  <si>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</si>
  <si>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</si>
  <si>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</si>
  <si>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</si>
  <si>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</si>
  <si>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</si>
  <si>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</si>
  <si>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</si>
  <si>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</si>
  <si>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</si>
  <si>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</si>
  <si>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</si>
  <si>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</si>
  <si>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</si>
  <si>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</si>
  <si>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</si>
  <si>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</si>
  <si>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</si>
  <si>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</si>
  <si>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</si>
  <si>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</si>
  <si>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</si>
  <si>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</si>
  <si>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</si>
  <si>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</si>
  <si>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</si>
  <si>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</si>
  <si>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</si>
  <si>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</si>
  <si>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</si>
  <si>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</si>
  <si>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</si>
  <si>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</si>
  <si>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</si>
  <si>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</si>
  <si>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</si>
  <si>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</si>
  <si>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</si>
  <si>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</si>
  <si>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</si>
  <si>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</si>
  <si>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</si>
  <si>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</si>
  <si>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</si>
  <si>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</si>
  <si>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</si>
  <si>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</si>
  <si>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</si>
  <si>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</si>
  <si>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</si>
  <si>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</si>
  <si>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</si>
  <si>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</si>
  <si>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</si>
  <si>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</si>
  <si>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</si>
  <si>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</si>
  <si>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</si>
  <si>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</si>
  <si>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</si>
  <si>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</si>
  <si>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</si>
  <si>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</si>
  <si>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</si>
  <si>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</si>
  <si>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</si>
  <si>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</si>
  <si>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</si>
  <si>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</si>
  <si>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</si>
  <si>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</si>
  <si>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</si>
  <si>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</si>
  <si>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</si>
  <si>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</si>
  <si>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</si>
  <si>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</si>
  <si>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</si>
  <si>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</si>
  <si>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</si>
  <si>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</si>
  <si>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</si>
  <si>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</si>
  <si>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</si>
  <si>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</si>
  <si>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</si>
  <si>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</si>
  <si>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</si>
  <si>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</si>
  <si>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</si>
  <si>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</si>
  <si>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</si>
  <si>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</si>
  <si>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</si>
  <si>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</si>
  <si>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</si>
  <si>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</si>
  <si>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</si>
  <si>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</si>
  <si>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</si>
  <si>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</si>
  <si>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</si>
  <si>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</si>
  <si>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</si>
  <si>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</si>
  <si>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</si>
  <si>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</si>
  <si>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</si>
  <si>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</si>
  <si>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</si>
  <si>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</si>
  <si>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</si>
  <si>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</si>
  <si>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</si>
  <si>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</si>
  <si>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</si>
  <si>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</si>
  <si>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</si>
  <si>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</si>
  <si>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</si>
  <si>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</si>
  <si>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</si>
  <si>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</si>
  <si>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</si>
  <si>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</si>
  <si>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</si>
  <si>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</si>
  <si>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</si>
  <si>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</si>
  <si>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</si>
  <si>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</si>
  <si>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</si>
  <si>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</si>
  <si>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</si>
  <si>
    <t>Pietermaritzburg</t>
  </si>
  <si>
    <t>Private Bag X321</t>
  </si>
  <si>
    <t>Professor Nyembezi</t>
  </si>
  <si>
    <t>341 Church St</t>
  </si>
  <si>
    <t>http://www.msunduzi.gov.za/</t>
  </si>
  <si>
    <t>call.centre@msunduzi.gov.za</t>
  </si>
  <si>
    <t> Nontokozo.Mazibuko@msunduzi.gov.za</t>
  </si>
  <si>
    <t>M Thebolla</t>
  </si>
  <si>
    <t> Ashreena.Jethoo@msunduzi.gov.za</t>
  </si>
  <si>
    <t>M Inderjit</t>
  </si>
  <si>
    <t> Nonhlanhla.mkhize@msunduzi.gov.za</t>
  </si>
  <si>
    <t>N Majola</t>
  </si>
  <si>
    <t>Economic development tourism</t>
  </si>
  <si>
    <t>Capital Provincial KZN Treausry</t>
  </si>
  <si>
    <t xml:space="preserve">Housing  </t>
  </si>
  <si>
    <t xml:space="preserve"> </t>
  </si>
  <si>
    <t>Rental lower than intially budgeted, hence interest is lower</t>
  </si>
  <si>
    <t>To be adjusted downwards during the adjustment budget</t>
  </si>
  <si>
    <t>Investments lower than intially budgeted, hence interest is lower</t>
  </si>
  <si>
    <t>The variance is due to the decision of the DPP withdrawing the municipality's permission to issue traffic fines</t>
  </si>
  <si>
    <t>The municipality is still negotiating with the DPP</t>
  </si>
  <si>
    <t xml:space="preserve">Municipality has no control </t>
  </si>
  <si>
    <t>No entries for Debt Impairment have been processed. This is done at year end.</t>
  </si>
  <si>
    <t>This is a year end entry</t>
  </si>
  <si>
    <t>no entries for Depreciation have been processed. This is done at year end.</t>
  </si>
  <si>
    <t>Materail purchases are done in bulk and then gets charged to departments as and when they need it.</t>
  </si>
  <si>
    <t>No remedial action is required</t>
  </si>
  <si>
    <t>This will self correct during the year</t>
  </si>
  <si>
    <t>Various reasons have been put forward, capex meetings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</si>
</sst>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1093">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2" fontId="6" fillId="0" borderId="22" xfId="0" applyNumberFormat="1" applyFont="1" applyBorder="1"/>
    <xf numFmtId="172" fontId="6" fillId="0" borderId="23" xfId="0" applyNumberFormat="1" applyFont="1" applyBorder="1"/>
    <xf numFmtId="0" fontId="6" fillId="0" borderId="17" xfId="0" applyFont="1" applyBorder="1"/>
    <xf numFmtId="172"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70" fontId="6" fillId="0" borderId="10" xfId="0" applyNumberFormat="1" applyFont="1" applyBorder="1"/>
    <xf numFmtId="0" fontId="7" fillId="0" borderId="11" xfId="0" applyFont="1" applyBorder="1" applyAlignment="1">
      <alignment horizontal="left"/>
    </xf>
    <xf numFmtId="0" fontId="6" fillId="0" borderId="11" xfId="0" applyFont="1" applyBorder="1"/>
    <xf numFmtId="173" fontId="6" fillId="0" borderId="0" xfId="0" applyNumberFormat="1" applyFont="1" applyBorder="1"/>
    <xf numFmtId="173" fontId="6" fillId="0" borderId="22" xfId="0" applyNumberFormat="1" applyFont="1" applyBorder="1"/>
    <xf numFmtId="173" fontId="6" fillId="0" borderId="13" xfId="0" applyNumberFormat="1" applyFont="1" applyBorder="1"/>
    <xf numFmtId="173" fontId="6" fillId="0" borderId="26" xfId="0" applyNumberFormat="1" applyFont="1" applyBorder="1"/>
    <xf numFmtId="173" fontId="6" fillId="0" borderId="22" xfId="0" applyNumberFormat="1" applyFont="1" applyFill="1" applyBorder="1"/>
    <xf numFmtId="170" fontId="6" fillId="0" borderId="13" xfId="0" applyNumberFormat="1" applyFont="1" applyFill="1" applyBorder="1"/>
    <xf numFmtId="173" fontId="7" fillId="0" borderId="0" xfId="0" applyNumberFormat="1" applyFont="1" applyBorder="1"/>
    <xf numFmtId="173" fontId="7" fillId="0" borderId="22" xfId="0" applyNumberFormat="1" applyFont="1" applyBorder="1"/>
    <xf numFmtId="173" fontId="7" fillId="0" borderId="26" xfId="0" applyNumberFormat="1" applyFont="1" applyBorder="1"/>
    <xf numFmtId="170" fontId="7" fillId="0" borderId="10" xfId="0" applyNumberFormat="1" applyFont="1" applyBorder="1"/>
    <xf numFmtId="0" fontId="7" fillId="0" borderId="27" xfId="0" applyFont="1" applyBorder="1"/>
    <xf numFmtId="173" fontId="7" fillId="0" borderId="28" xfId="0" applyNumberFormat="1" applyFont="1" applyBorder="1"/>
    <xf numFmtId="173" fontId="7" fillId="0" borderId="29" xfId="0" applyNumberFormat="1" applyFont="1" applyBorder="1"/>
    <xf numFmtId="173" fontId="7" fillId="0" borderId="30" xfId="0" applyNumberFormat="1" applyFont="1" applyBorder="1"/>
    <xf numFmtId="0" fontId="11" fillId="0" borderId="0" xfId="0" applyFont="1" applyBorder="1"/>
    <xf numFmtId="0" fontId="6" fillId="0" borderId="0" xfId="0" applyFont="1" applyBorder="1" applyAlignment="1">
      <alignment horizontal="center"/>
    </xf>
    <xf numFmtId="170" fontId="7" fillId="0" borderId="0" xfId="0" applyNumberFormat="1" applyFont="1" applyFill="1" applyBorder="1"/>
    <xf numFmtId="0" fontId="10" fillId="0" borderId="0" xfId="0" quotePrefix="1" applyFont="1" applyBorder="1"/>
    <xf numFmtId="0" fontId="7" fillId="0" borderId="0" xfId="0" applyFont="1" applyBorder="1"/>
    <xf numFmtId="170"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6" fontId="6" fillId="0" borderId="0" xfId="28" applyNumberFormat="1" applyFont="1"/>
    <xf numFmtId="0" fontId="6" fillId="0" borderId="0" xfId="0" applyFont="1" applyBorder="1"/>
    <xf numFmtId="0" fontId="6" fillId="0" borderId="0" xfId="0" applyFont="1" applyAlignment="1">
      <alignment horizontal="center"/>
    </xf>
    <xf numFmtId="166" fontId="6" fillId="0" borderId="0" xfId="28" applyNumberFormat="1" applyFont="1" applyAlignment="1">
      <alignment horizontal="center"/>
    </xf>
    <xf numFmtId="169" fontId="6" fillId="0" borderId="0" xfId="42" applyNumberFormat="1" applyFont="1" applyAlignment="1">
      <alignment horizontal="center"/>
    </xf>
    <xf numFmtId="166" fontId="6" fillId="0" borderId="0" xfId="0" applyNumberFormat="1" applyFont="1"/>
    <xf numFmtId="169" fontId="6" fillId="0" borderId="0" xfId="0" applyNumberFormat="1" applyFont="1"/>
    <xf numFmtId="173" fontId="7" fillId="0" borderId="31" xfId="0" applyNumberFormat="1" applyFont="1" applyBorder="1"/>
    <xf numFmtId="173" fontId="7" fillId="0" borderId="32" xfId="0" applyNumberFormat="1" applyFont="1" applyBorder="1"/>
    <xf numFmtId="169" fontId="6" fillId="0" borderId="0" xfId="0" applyNumberFormat="1" applyFont="1" applyAlignment="1">
      <alignment horizontal="center"/>
    </xf>
    <xf numFmtId="173" fontId="7" fillId="0" borderId="24" xfId="0" applyNumberFormat="1" applyFont="1" applyBorder="1"/>
    <xf numFmtId="173" fontId="7" fillId="0" borderId="33" xfId="0" applyNumberFormat="1" applyFont="1" applyBorder="1"/>
    <xf numFmtId="0" fontId="11" fillId="0" borderId="0" xfId="0" applyFont="1" applyBorder="1" applyAlignment="1">
      <alignment horizontal="left"/>
    </xf>
    <xf numFmtId="170"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3" fontId="7" fillId="0" borderId="34" xfId="0" applyNumberFormat="1" applyFont="1" applyBorder="1"/>
    <xf numFmtId="170" fontId="6" fillId="0" borderId="0" xfId="0" applyNumberFormat="1" applyFont="1" applyBorder="1"/>
    <xf numFmtId="170"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8" fontId="7" fillId="0" borderId="0" xfId="0" applyNumberFormat="1" applyFont="1" applyBorder="1"/>
    <xf numFmtId="0" fontId="6" fillId="0" borderId="16" xfId="0" applyFont="1" applyBorder="1"/>
    <xf numFmtId="0" fontId="7" fillId="0" borderId="35" xfId="0" applyFont="1" applyBorder="1"/>
    <xf numFmtId="165" fontId="6" fillId="0" borderId="0" xfId="28" applyFont="1" applyBorder="1"/>
    <xf numFmtId="0" fontId="7" fillId="0" borderId="16" xfId="0" applyFont="1" applyBorder="1"/>
    <xf numFmtId="0" fontId="11" fillId="0" borderId="0" xfId="0" applyFont="1"/>
    <xf numFmtId="0" fontId="6" fillId="0" borderId="0" xfId="0" applyFont="1" applyFill="1" applyBorder="1"/>
    <xf numFmtId="170" fontId="6" fillId="0" borderId="0" xfId="0" applyNumberFormat="1" applyFont="1" applyFill="1" applyBorder="1"/>
    <xf numFmtId="9" fontId="6" fillId="0" borderId="0" xfId="42" applyFont="1"/>
    <xf numFmtId="173" fontId="6" fillId="0" borderId="36" xfId="0" applyNumberFormat="1" applyFont="1" applyBorder="1"/>
    <xf numFmtId="0" fontId="6" fillId="0" borderId="0" xfId="0" applyFont="1" applyFill="1"/>
    <xf numFmtId="173" fontId="6" fillId="0" borderId="36" xfId="0" applyNumberFormat="1" applyFont="1" applyFill="1" applyBorder="1"/>
    <xf numFmtId="173" fontId="7" fillId="0" borderId="22" xfId="0" applyNumberFormat="1" applyFont="1" applyFill="1" applyBorder="1"/>
    <xf numFmtId="170" fontId="6" fillId="0" borderId="22" xfId="0" applyNumberFormat="1" applyFont="1" applyBorder="1"/>
    <xf numFmtId="170"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3" fontId="6" fillId="0" borderId="37" xfId="0" applyNumberFormat="1" applyFont="1" applyBorder="1"/>
    <xf numFmtId="173" fontId="7" fillId="0" borderId="10" xfId="0" applyNumberFormat="1" applyFont="1" applyBorder="1"/>
    <xf numFmtId="173" fontId="7" fillId="0" borderId="37" xfId="0" applyNumberFormat="1" applyFont="1" applyBorder="1"/>
    <xf numFmtId="0" fontId="6" fillId="0" borderId="11" xfId="0" applyFont="1" applyBorder="1" applyAlignment="1">
      <alignment horizontal="left" wrapText="1" indent="1"/>
    </xf>
    <xf numFmtId="173"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3" fontId="6" fillId="0" borderId="24" xfId="0" applyNumberFormat="1" applyFont="1" applyBorder="1"/>
    <xf numFmtId="173" fontId="6" fillId="0" borderId="33" xfId="0" applyNumberFormat="1" applyFont="1" applyBorder="1"/>
    <xf numFmtId="170" fontId="6" fillId="0" borderId="0" xfId="28" applyNumberFormat="1" applyFont="1" applyBorder="1"/>
    <xf numFmtId="166" fontId="6" fillId="0" borderId="0" xfId="28" applyNumberFormat="1" applyFont="1" applyBorder="1"/>
    <xf numFmtId="0" fontId="6" fillId="0" borderId="19" xfId="0" applyFont="1" applyBorder="1" applyAlignment="1">
      <alignment horizontal="center"/>
    </xf>
    <xf numFmtId="169"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9" fontId="6" fillId="0" borderId="22" xfId="42" applyNumberFormat="1" applyFont="1" applyFill="1" applyBorder="1" applyAlignment="1">
      <alignment horizontal="center" vertical="top" wrapText="1"/>
    </xf>
    <xf numFmtId="169"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3" fontId="6" fillId="0" borderId="10" xfId="0" applyNumberFormat="1" applyFont="1" applyBorder="1"/>
    <xf numFmtId="166"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3" fontId="6" fillId="0" borderId="46" xfId="0" applyNumberFormat="1" applyFont="1" applyBorder="1"/>
    <xf numFmtId="173"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1"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3" fontId="6" fillId="0" borderId="38" xfId="0" applyNumberFormat="1" applyFont="1" applyBorder="1"/>
    <xf numFmtId="173"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70"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70"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3"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3" fontId="7" fillId="0" borderId="46" xfId="0" applyNumberFormat="1" applyFont="1" applyBorder="1"/>
    <xf numFmtId="173" fontId="6" fillId="0" borderId="51" xfId="0" applyNumberFormat="1" applyFont="1" applyBorder="1"/>
    <xf numFmtId="172" fontId="6" fillId="0" borderId="26" xfId="0" applyNumberFormat="1" applyFont="1" applyBorder="1"/>
    <xf numFmtId="172" fontId="6" fillId="0" borderId="10" xfId="0" applyNumberFormat="1" applyFont="1" applyBorder="1"/>
    <xf numFmtId="171"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2" fontId="6" fillId="0" borderId="46" xfId="0" applyNumberFormat="1" applyFont="1" applyBorder="1"/>
    <xf numFmtId="171" fontId="6" fillId="0" borderId="33" xfId="0" applyNumberFormat="1" applyFont="1" applyFill="1" applyBorder="1"/>
    <xf numFmtId="171" fontId="6" fillId="0" borderId="24" xfId="0" applyNumberFormat="1" applyFont="1" applyFill="1" applyBorder="1"/>
    <xf numFmtId="171" fontId="6" fillId="0" borderId="50" xfId="0" applyNumberFormat="1" applyFont="1" applyFill="1" applyBorder="1"/>
    <xf numFmtId="9" fontId="7" fillId="0" borderId="43" xfId="42" applyFont="1" applyFill="1" applyBorder="1" applyAlignment="1">
      <alignment horizontal="center" vertical="center" wrapText="1"/>
    </xf>
    <xf numFmtId="174" fontId="7" fillId="0" borderId="22" xfId="42" applyNumberFormat="1" applyFont="1" applyBorder="1"/>
    <xf numFmtId="174" fontId="6" fillId="0" borderId="22" xfId="42" applyNumberFormat="1" applyFont="1" applyBorder="1"/>
    <xf numFmtId="174" fontId="6" fillId="0" borderId="36" xfId="42" applyNumberFormat="1" applyFont="1" applyBorder="1"/>
    <xf numFmtId="172" fontId="6" fillId="0" borderId="19" xfId="0" applyNumberFormat="1" applyFont="1" applyBorder="1"/>
    <xf numFmtId="172" fontId="6" fillId="0" borderId="33" xfId="0" applyNumberFormat="1" applyFont="1" applyBorder="1"/>
    <xf numFmtId="174" fontId="6" fillId="0" borderId="24" xfId="42" applyNumberFormat="1" applyFont="1" applyBorder="1"/>
    <xf numFmtId="172" fontId="6" fillId="0" borderId="50" xfId="0" applyNumberFormat="1" applyFont="1" applyBorder="1"/>
    <xf numFmtId="172" fontId="6" fillId="0" borderId="39" xfId="0" applyNumberFormat="1" applyFont="1" applyBorder="1"/>
    <xf numFmtId="172" fontId="6" fillId="0" borderId="25" xfId="0" applyNumberFormat="1" applyFont="1" applyBorder="1"/>
    <xf numFmtId="174" fontId="6" fillId="0" borderId="23" xfId="42" applyNumberFormat="1" applyFont="1" applyBorder="1"/>
    <xf numFmtId="172" fontId="6" fillId="0" borderId="53" xfId="0" applyNumberFormat="1" applyFont="1" applyBorder="1"/>
    <xf numFmtId="172" fontId="6" fillId="25" borderId="22" xfId="0" applyNumberFormat="1" applyFont="1" applyFill="1" applyBorder="1"/>
    <xf numFmtId="172" fontId="6" fillId="25" borderId="24" xfId="0" applyNumberFormat="1" applyFont="1" applyFill="1" applyBorder="1"/>
    <xf numFmtId="174" fontId="6" fillId="25" borderId="22" xfId="42" applyNumberFormat="1" applyFont="1" applyFill="1" applyBorder="1"/>
    <xf numFmtId="174"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3"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3" fontId="7" fillId="0" borderId="50" xfId="0" applyNumberFormat="1" applyFont="1" applyBorder="1"/>
    <xf numFmtId="173"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3" fontId="7" fillId="0" borderId="55" xfId="0" applyNumberFormat="1" applyFont="1" applyBorder="1"/>
    <xf numFmtId="173"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3"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3" fontId="7" fillId="0" borderId="10" xfId="0" applyNumberFormat="1" applyFont="1" applyBorder="1" applyAlignment="1">
      <alignment vertical="top"/>
    </xf>
    <xf numFmtId="173" fontId="7" fillId="0" borderId="26" xfId="0" applyNumberFormat="1" applyFont="1" applyBorder="1" applyAlignment="1">
      <alignment vertical="top"/>
    </xf>
    <xf numFmtId="173" fontId="7" fillId="0" borderId="22" xfId="0" applyNumberFormat="1" applyFont="1" applyBorder="1" applyAlignment="1">
      <alignment vertical="top"/>
    </xf>
    <xf numFmtId="173"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3" fontId="6" fillId="0" borderId="45" xfId="0" applyNumberFormat="1" applyFont="1" applyBorder="1"/>
    <xf numFmtId="173" fontId="7" fillId="0" borderId="45" xfId="0" applyNumberFormat="1" applyFont="1" applyBorder="1"/>
    <xf numFmtId="173" fontId="7" fillId="0" borderId="61" xfId="0" applyNumberFormat="1" applyFont="1" applyBorder="1"/>
    <xf numFmtId="173" fontId="6" fillId="0" borderId="55" xfId="0" applyNumberFormat="1" applyFont="1" applyBorder="1"/>
    <xf numFmtId="173" fontId="6" fillId="0" borderId="61" xfId="0" applyNumberFormat="1" applyFont="1" applyBorder="1"/>
    <xf numFmtId="173" fontId="6" fillId="0" borderId="47" xfId="0" applyNumberFormat="1" applyFont="1" applyBorder="1"/>
    <xf numFmtId="173" fontId="6" fillId="0" borderId="62" xfId="0" applyNumberFormat="1" applyFont="1" applyBorder="1"/>
    <xf numFmtId="173" fontId="7" fillId="0" borderId="58" xfId="0" applyNumberFormat="1" applyFont="1" applyBorder="1"/>
    <xf numFmtId="170" fontId="6" fillId="0" borderId="46" xfId="0" applyNumberFormat="1" applyFont="1" applyBorder="1"/>
    <xf numFmtId="0" fontId="7" fillId="0" borderId="63" xfId="0" applyFont="1" applyBorder="1" applyAlignment="1">
      <alignment horizontal="center"/>
    </xf>
    <xf numFmtId="170"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3" fontId="7" fillId="0" borderId="64" xfId="0" applyNumberFormat="1" applyFont="1" applyBorder="1"/>
    <xf numFmtId="0" fontId="7" fillId="0" borderId="15" xfId="0" applyFont="1" applyBorder="1"/>
    <xf numFmtId="173" fontId="6" fillId="25" borderId="22" xfId="0" applyNumberFormat="1" applyFont="1" applyFill="1" applyBorder="1"/>
    <xf numFmtId="173" fontId="6" fillId="25" borderId="24" xfId="0" applyNumberFormat="1" applyFont="1" applyFill="1" applyBorder="1"/>
    <xf numFmtId="0" fontId="7" fillId="0" borderId="65" xfId="0" applyFont="1" applyFill="1" applyBorder="1" applyAlignment="1">
      <alignment horizontal="centerContinuous" vertical="center" wrapText="1"/>
    </xf>
    <xf numFmtId="169"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9"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1" fontId="6" fillId="0" borderId="0" xfId="0" applyNumberFormat="1" applyFont="1" applyFill="1" applyBorder="1"/>
    <xf numFmtId="174" fontId="6" fillId="0" borderId="0" xfId="42" applyNumberFormat="1" applyFont="1" applyBorder="1"/>
    <xf numFmtId="169"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3" fontId="6" fillId="0" borderId="58" xfId="0" applyNumberFormat="1" applyFont="1" applyBorder="1"/>
    <xf numFmtId="170" fontId="7" fillId="0" borderId="26" xfId="0" applyNumberFormat="1" applyFont="1" applyBorder="1"/>
    <xf numFmtId="170" fontId="7" fillId="0" borderId="22" xfId="0" applyNumberFormat="1" applyFont="1" applyBorder="1"/>
    <xf numFmtId="170" fontId="7" fillId="0" borderId="46" xfId="0" applyNumberFormat="1" applyFont="1" applyBorder="1"/>
    <xf numFmtId="169" fontId="7" fillId="0" borderId="22" xfId="42" applyNumberFormat="1" applyFont="1" applyFill="1" applyBorder="1" applyAlignment="1">
      <alignment horizontal="center" vertical="top" wrapText="1"/>
    </xf>
    <xf numFmtId="169" fontId="7" fillId="0" borderId="31" xfId="42" applyNumberFormat="1" applyFont="1" applyFill="1" applyBorder="1" applyAlignment="1">
      <alignment horizontal="center" vertical="top" wrapText="1"/>
    </xf>
    <xf numFmtId="173" fontId="6" fillId="0" borderId="30" xfId="0" applyNumberFormat="1" applyFont="1" applyBorder="1"/>
    <xf numFmtId="173" fontId="6" fillId="0" borderId="29" xfId="0" applyNumberFormat="1" applyFont="1" applyBorder="1"/>
    <xf numFmtId="169" fontId="6" fillId="0" borderId="29" xfId="42" applyNumberFormat="1" applyFont="1" applyFill="1" applyBorder="1" applyAlignment="1">
      <alignment horizontal="center" vertical="top" wrapText="1"/>
    </xf>
    <xf numFmtId="173"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9"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3" fontId="6" fillId="0" borderId="69" xfId="0" applyNumberFormat="1" applyFont="1" applyBorder="1"/>
    <xf numFmtId="0" fontId="7" fillId="0" borderId="35" xfId="0" applyFont="1" applyFill="1" applyBorder="1"/>
    <xf numFmtId="170" fontId="7" fillId="0" borderId="55" xfId="0" applyNumberFormat="1" applyFont="1" applyBorder="1"/>
    <xf numFmtId="173"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9" fontId="6" fillId="0" borderId="36" xfId="42" applyNumberFormat="1" applyFont="1" applyFill="1" applyBorder="1" applyAlignment="1">
      <alignment horizontal="center" vertical="top" wrapText="1"/>
    </xf>
    <xf numFmtId="170" fontId="6" fillId="0" borderId="0" xfId="28" applyNumberFormat="1" applyFont="1" applyFill="1" applyBorder="1"/>
    <xf numFmtId="0" fontId="7" fillId="0" borderId="67" xfId="0" applyFont="1" applyFill="1" applyBorder="1" applyAlignment="1">
      <alignment horizontal="center" vertical="center" wrapText="1"/>
    </xf>
    <xf numFmtId="173" fontId="7" fillId="25" borderId="22" xfId="0" applyNumberFormat="1" applyFont="1" applyFill="1" applyBorder="1"/>
    <xf numFmtId="173" fontId="6" fillId="25" borderId="36" xfId="0" applyNumberFormat="1" applyFont="1" applyFill="1" applyBorder="1"/>
    <xf numFmtId="173"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3"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70"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9"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3" fontId="6" fillId="0" borderId="14" xfId="0" applyNumberFormat="1" applyFont="1" applyBorder="1"/>
    <xf numFmtId="173"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3" fontId="6" fillId="0" borderId="12" xfId="0" applyNumberFormat="1" applyFont="1" applyBorder="1"/>
    <xf numFmtId="173"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3"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4" fontId="7" fillId="0" borderId="36" xfId="42" applyNumberFormat="1" applyFont="1" applyBorder="1"/>
    <xf numFmtId="173" fontId="6" fillId="28" borderId="26" xfId="0" applyNumberFormat="1" applyFont="1" applyFill="1" applyBorder="1" applyProtection="1">
      <protection locked="0"/>
    </xf>
    <xf numFmtId="173" fontId="6" fillId="28" borderId="22" xfId="0" applyNumberFormat="1" applyFont="1" applyFill="1" applyBorder="1" applyProtection="1">
      <protection locked="0"/>
    </xf>
    <xf numFmtId="173"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9" fontId="6" fillId="0" borderId="10" xfId="42" applyNumberFormat="1" applyFont="1" applyFill="1" applyBorder="1" applyAlignment="1" applyProtection="1">
      <alignment horizontal="center" vertical="top" wrapText="1"/>
    </xf>
    <xf numFmtId="169" fontId="6" fillId="0" borderId="45" xfId="42" applyNumberFormat="1" applyFont="1" applyFill="1" applyBorder="1" applyAlignment="1" applyProtection="1">
      <alignment horizontal="center" vertical="top" wrapText="1"/>
    </xf>
    <xf numFmtId="169" fontId="6" fillId="0" borderId="22" xfId="42" applyNumberFormat="1" applyFont="1" applyFill="1" applyBorder="1" applyAlignment="1" applyProtection="1">
      <alignment horizontal="center" vertical="top" wrapText="1"/>
    </xf>
    <xf numFmtId="169" fontId="6" fillId="0" borderId="46" xfId="42" applyNumberFormat="1" applyFont="1" applyFill="1" applyBorder="1" applyAlignment="1" applyProtection="1">
      <alignment horizontal="center" vertical="top" wrapText="1"/>
    </xf>
    <xf numFmtId="173" fontId="6" fillId="28" borderId="37" xfId="0" applyNumberFormat="1" applyFont="1" applyFill="1" applyBorder="1" applyProtection="1">
      <protection locked="0"/>
    </xf>
    <xf numFmtId="173"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70" fontId="6" fillId="25" borderId="10" xfId="0" applyNumberFormat="1" applyFont="1" applyFill="1" applyBorder="1"/>
    <xf numFmtId="169" fontId="7" fillId="25" borderId="22" xfId="42" applyNumberFormat="1" applyFont="1" applyFill="1" applyBorder="1" applyAlignment="1">
      <alignment horizontal="center" vertical="top" wrapText="1"/>
    </xf>
    <xf numFmtId="170"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3"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3" fontId="6" fillId="0" borderId="22" xfId="0" applyNumberFormat="1" applyFont="1" applyFill="1" applyBorder="1" applyProtection="1"/>
    <xf numFmtId="173" fontId="6" fillId="0" borderId="36" xfId="0" applyNumberFormat="1" applyFont="1" applyFill="1" applyBorder="1" applyProtection="1"/>
    <xf numFmtId="169"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3"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3" fontId="7" fillId="0" borderId="22" xfId="0" applyNumberFormat="1" applyFont="1" applyBorder="1" applyAlignment="1">
      <alignment horizontal="right"/>
    </xf>
    <xf numFmtId="173" fontId="7" fillId="0" borderId="13" xfId="0" applyNumberFormat="1" applyFont="1" applyBorder="1" applyAlignment="1">
      <alignment horizontal="right"/>
    </xf>
    <xf numFmtId="173" fontId="7" fillId="0" borderId="0" xfId="0" applyNumberFormat="1" applyFont="1" applyBorder="1" applyAlignment="1">
      <alignment horizontal="right"/>
    </xf>
    <xf numFmtId="173"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70" fontId="6" fillId="0" borderId="13" xfId="0" applyNumberFormat="1" applyFont="1" applyBorder="1"/>
    <xf numFmtId="0" fontId="7" fillId="0" borderId="11" xfId="0" applyFont="1" applyBorder="1" applyAlignment="1" applyProtection="1">
      <alignment horizontal="left"/>
    </xf>
    <xf numFmtId="173" fontId="7" fillId="0" borderId="43" xfId="0" applyNumberFormat="1" applyFont="1" applyBorder="1" applyAlignment="1" applyProtection="1">
      <alignment horizontal="right"/>
    </xf>
    <xf numFmtId="173" fontId="7" fillId="0" borderId="73" xfId="0" applyNumberFormat="1" applyFont="1" applyBorder="1" applyAlignment="1" applyProtection="1">
      <alignment horizontal="right"/>
    </xf>
    <xf numFmtId="173" fontId="7" fillId="0" borderId="74" xfId="0" applyNumberFormat="1" applyFont="1" applyBorder="1" applyAlignment="1" applyProtection="1">
      <alignment horizontal="right"/>
    </xf>
    <xf numFmtId="173" fontId="7" fillId="0" borderId="52" xfId="0" applyNumberFormat="1" applyFont="1" applyBorder="1" applyAlignment="1" applyProtection="1">
      <alignment horizontal="right"/>
    </xf>
    <xf numFmtId="170" fontId="7" fillId="0" borderId="18" xfId="0" applyNumberFormat="1" applyFont="1" applyBorder="1"/>
    <xf numFmtId="170"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3" fontId="6" fillId="0" borderId="24" xfId="0" applyNumberFormat="1" applyFont="1" applyBorder="1" applyProtection="1"/>
    <xf numFmtId="173" fontId="6" fillId="0" borderId="17" xfId="0" applyNumberFormat="1" applyFont="1" applyBorder="1" applyProtection="1"/>
    <xf numFmtId="173" fontId="6" fillId="0" borderId="14" xfId="0" applyNumberFormat="1" applyFont="1" applyBorder="1" applyProtection="1"/>
    <xf numFmtId="173"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3" fontId="6" fillId="0" borderId="23" xfId="0" applyNumberFormat="1" applyFont="1" applyBorder="1" applyProtection="1"/>
    <xf numFmtId="173" fontId="6" fillId="0" borderId="65" xfId="0" applyNumberFormat="1" applyFont="1" applyBorder="1" applyProtection="1"/>
    <xf numFmtId="173" fontId="6" fillId="0" borderId="12" xfId="0" applyNumberFormat="1" applyFont="1" applyBorder="1" applyProtection="1"/>
    <xf numFmtId="173"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3" fontId="7" fillId="0" borderId="22" xfId="0" applyNumberFormat="1" applyFont="1" applyBorder="1" applyAlignment="1" applyProtection="1">
      <alignment horizontal="right"/>
    </xf>
    <xf numFmtId="173" fontId="7" fillId="0" borderId="13" xfId="0" applyNumberFormat="1" applyFont="1" applyBorder="1" applyAlignment="1" applyProtection="1">
      <alignment horizontal="right"/>
    </xf>
    <xf numFmtId="173" fontId="7" fillId="0" borderId="0" xfId="0" applyNumberFormat="1" applyFont="1" applyBorder="1" applyAlignment="1" applyProtection="1">
      <alignment horizontal="right"/>
    </xf>
    <xf numFmtId="173" fontId="7" fillId="0" borderId="26" xfId="0" applyNumberFormat="1" applyFont="1" applyBorder="1" applyAlignment="1" applyProtection="1">
      <alignment horizontal="right"/>
    </xf>
    <xf numFmtId="173" fontId="6" fillId="28" borderId="0" xfId="0" applyNumberFormat="1" applyFont="1" applyFill="1" applyBorder="1" applyProtection="1">
      <protection locked="0"/>
    </xf>
    <xf numFmtId="170" fontId="6" fillId="0" borderId="10" xfId="0" applyNumberFormat="1" applyFont="1" applyFill="1" applyBorder="1"/>
    <xf numFmtId="173" fontId="7" fillId="0" borderId="74" xfId="0" applyNumberFormat="1" applyFont="1" applyBorder="1"/>
    <xf numFmtId="173" fontId="7" fillId="0" borderId="52" xfId="0" applyNumberFormat="1" applyFont="1" applyBorder="1"/>
    <xf numFmtId="170" fontId="7" fillId="0" borderId="13" xfId="0" applyNumberFormat="1" applyFont="1" applyBorder="1"/>
    <xf numFmtId="0" fontId="6" fillId="0" borderId="29" xfId="0" applyNumberFormat="1" applyFont="1" applyBorder="1" applyAlignment="1" applyProtection="1">
      <alignment horizontal="center"/>
      <protection locked="0"/>
    </xf>
    <xf numFmtId="173" fontId="7" fillId="0" borderId="29" xfId="0" applyNumberFormat="1" applyFont="1" applyFill="1" applyBorder="1"/>
    <xf numFmtId="173" fontId="7" fillId="0" borderId="75" xfId="0" applyNumberFormat="1" applyFont="1" applyBorder="1"/>
    <xf numFmtId="170" fontId="7" fillId="0" borderId="76" xfId="0" applyNumberFormat="1" applyFont="1" applyBorder="1"/>
    <xf numFmtId="170"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70"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70"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6"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3" fontId="7" fillId="0" borderId="37" xfId="0" applyNumberFormat="1" applyFont="1" applyBorder="1" applyAlignment="1">
      <alignment horizontal="right"/>
    </xf>
    <xf numFmtId="173" fontId="7" fillId="0" borderId="78" xfId="0" applyNumberFormat="1" applyFont="1" applyBorder="1" applyAlignment="1" applyProtection="1">
      <alignment horizontal="right"/>
    </xf>
    <xf numFmtId="173" fontId="6" fillId="0" borderId="69" xfId="0" applyNumberFormat="1" applyFont="1" applyBorder="1" applyProtection="1"/>
    <xf numFmtId="173" fontId="6" fillId="0" borderId="79" xfId="0" applyNumberFormat="1" applyFont="1" applyBorder="1" applyProtection="1"/>
    <xf numFmtId="173" fontId="7" fillId="0" borderId="37" xfId="0" applyNumberFormat="1" applyFont="1" applyBorder="1" applyAlignment="1" applyProtection="1">
      <alignment horizontal="right"/>
    </xf>
    <xf numFmtId="173" fontId="7" fillId="0" borderId="78" xfId="0" applyNumberFormat="1" applyFont="1" applyBorder="1"/>
    <xf numFmtId="173" fontId="7" fillId="0" borderId="34" xfId="0" applyNumberFormat="1" applyFont="1" applyFill="1" applyBorder="1"/>
    <xf numFmtId="0" fontId="6" fillId="0" borderId="25" xfId="0" applyFont="1" applyBorder="1"/>
    <xf numFmtId="0" fontId="6" fillId="0" borderId="23" xfId="0" applyFont="1" applyBorder="1"/>
    <xf numFmtId="173" fontId="7" fillId="0" borderId="30" xfId="0" applyNumberFormat="1" applyFont="1" applyFill="1" applyBorder="1"/>
    <xf numFmtId="173" fontId="7" fillId="0" borderId="49" xfId="0" applyNumberFormat="1" applyFont="1" applyBorder="1"/>
    <xf numFmtId="173" fontId="6" fillId="0" borderId="43" xfId="0" applyNumberFormat="1" applyFont="1" applyBorder="1"/>
    <xf numFmtId="9" fontId="6" fillId="0" borderId="43" xfId="42" applyFont="1" applyBorder="1" applyAlignment="1">
      <alignment horizontal="center"/>
    </xf>
    <xf numFmtId="173"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3" fontId="7" fillId="0" borderId="55" xfId="0" applyNumberFormat="1" applyFont="1" applyBorder="1" applyAlignment="1">
      <alignment vertical="top"/>
    </xf>
    <xf numFmtId="173" fontId="7" fillId="0" borderId="32" xfId="0" applyNumberFormat="1" applyFont="1" applyBorder="1" applyAlignment="1">
      <alignment vertical="top"/>
    </xf>
    <xf numFmtId="173" fontId="7" fillId="0" borderId="31" xfId="0" applyNumberFormat="1" applyFont="1" applyBorder="1" applyAlignment="1">
      <alignment vertical="top"/>
    </xf>
    <xf numFmtId="9" fontId="7" fillId="0" borderId="31" xfId="42" applyFont="1" applyBorder="1" applyAlignment="1">
      <alignment horizontal="center" vertical="top"/>
    </xf>
    <xf numFmtId="173" fontId="7" fillId="0" borderId="47" xfId="0" applyNumberFormat="1" applyFont="1" applyBorder="1" applyAlignment="1">
      <alignment vertical="top"/>
    </xf>
    <xf numFmtId="0" fontId="7" fillId="0" borderId="11" xfId="0" applyNumberFormat="1" applyFont="1" applyBorder="1" applyAlignment="1">
      <alignment wrapText="1"/>
    </xf>
    <xf numFmtId="173" fontId="7" fillId="0" borderId="43" xfId="0" applyNumberFormat="1" applyFont="1" applyBorder="1" applyAlignment="1">
      <alignment vertical="top"/>
    </xf>
    <xf numFmtId="173" fontId="7" fillId="0" borderId="49" xfId="0" applyNumberFormat="1" applyFont="1" applyBorder="1" applyAlignment="1">
      <alignment vertical="top"/>
    </xf>
    <xf numFmtId="173" fontId="7" fillId="0" borderId="60" xfId="0" applyNumberFormat="1" applyFont="1" applyBorder="1" applyAlignment="1">
      <alignment vertical="top"/>
    </xf>
    <xf numFmtId="173" fontId="6" fillId="0" borderId="10" xfId="0" applyNumberFormat="1" applyFont="1" applyFill="1" applyBorder="1"/>
    <xf numFmtId="173" fontId="6" fillId="0" borderId="45" xfId="0" applyNumberFormat="1" applyFont="1" applyFill="1" applyBorder="1"/>
    <xf numFmtId="173" fontId="6" fillId="0" borderId="10" xfId="0" applyNumberFormat="1" applyFont="1" applyFill="1" applyBorder="1" applyProtection="1">
      <protection locked="0"/>
    </xf>
    <xf numFmtId="173" fontId="6" fillId="0" borderId="45" xfId="0" applyNumberFormat="1" applyFont="1" applyFill="1" applyBorder="1" applyProtection="1">
      <protection locked="0"/>
    </xf>
    <xf numFmtId="173" fontId="6" fillId="0" borderId="22" xfId="0" applyNumberFormat="1" applyFont="1" applyFill="1" applyBorder="1" applyProtection="1">
      <protection locked="0"/>
    </xf>
    <xf numFmtId="173"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3" fontId="7" fillId="0" borderId="38" xfId="0" applyNumberFormat="1" applyFont="1" applyFill="1" applyBorder="1"/>
    <xf numFmtId="173" fontId="7" fillId="0" borderId="64" xfId="0" applyNumberFormat="1" applyFont="1" applyFill="1" applyBorder="1"/>
    <xf numFmtId="9" fontId="7" fillId="0" borderId="29" xfId="42" applyFont="1" applyFill="1" applyBorder="1" applyAlignment="1">
      <alignment horizontal="center"/>
    </xf>
    <xf numFmtId="173" fontId="7" fillId="0" borderId="56" xfId="0" applyNumberFormat="1" applyFont="1" applyFill="1" applyBorder="1"/>
    <xf numFmtId="173" fontId="7" fillId="0" borderId="60" xfId="0" applyNumberFormat="1" applyFont="1" applyBorder="1"/>
    <xf numFmtId="173"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3" fontId="6" fillId="0" borderId="26" xfId="0" applyNumberFormat="1" applyFont="1" applyFill="1" applyBorder="1" applyProtection="1">
      <protection locked="0"/>
    </xf>
    <xf numFmtId="169" fontId="6" fillId="0" borderId="43" xfId="42" applyNumberFormat="1" applyFont="1" applyFill="1" applyBorder="1" applyAlignment="1">
      <alignment horizontal="center" vertical="top" wrapText="1"/>
    </xf>
    <xf numFmtId="169" fontId="7" fillId="0" borderId="43" xfId="42" applyNumberFormat="1" applyFont="1" applyFill="1" applyBorder="1" applyAlignment="1">
      <alignment horizontal="center" vertical="top" wrapText="1"/>
    </xf>
    <xf numFmtId="0" fontId="6" fillId="0" borderId="59" xfId="0" applyFont="1" applyBorder="1"/>
    <xf numFmtId="173"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70" fontId="6" fillId="0" borderId="38" xfId="0" quotePrefix="1" applyNumberFormat="1" applyFont="1" applyBorder="1" applyAlignment="1">
      <alignment horizontal="center"/>
    </xf>
    <xf numFmtId="170" fontId="6" fillId="0" borderId="30" xfId="0" quotePrefix="1" applyNumberFormat="1" applyFont="1" applyBorder="1" applyAlignment="1">
      <alignment horizontal="center"/>
    </xf>
    <xf numFmtId="170" fontId="6" fillId="0" borderId="29" xfId="0" quotePrefix="1" applyNumberFormat="1" applyFont="1" applyBorder="1" applyAlignment="1">
      <alignment horizontal="center"/>
    </xf>
    <xf numFmtId="170" fontId="6" fillId="0" borderId="29" xfId="0" applyNumberFormat="1" applyFont="1" applyBorder="1" applyAlignment="1">
      <alignment horizontal="center"/>
    </xf>
    <xf numFmtId="170"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3" fontId="6" fillId="0" borderId="67" xfId="0" applyNumberFormat="1" applyFont="1" applyBorder="1"/>
    <xf numFmtId="173" fontId="6" fillId="0" borderId="52" xfId="0" applyNumberFormat="1" applyFont="1" applyBorder="1"/>
    <xf numFmtId="173" fontId="6" fillId="0" borderId="49" xfId="0" applyNumberFormat="1" applyFont="1" applyBorder="1"/>
    <xf numFmtId="0" fontId="10" fillId="0" borderId="11" xfId="0" applyNumberFormat="1" applyFont="1" applyBorder="1" applyAlignment="1">
      <alignment horizontal="left" indent="2"/>
    </xf>
    <xf numFmtId="169" fontId="7" fillId="0" borderId="37" xfId="42" applyNumberFormat="1" applyFont="1" applyFill="1" applyBorder="1" applyAlignment="1">
      <alignment horizontal="center" vertical="top" wrapText="1"/>
    </xf>
    <xf numFmtId="173" fontId="7" fillId="0" borderId="54" xfId="0" applyNumberFormat="1" applyFont="1" applyBorder="1"/>
    <xf numFmtId="173" fontId="7" fillId="0" borderId="62" xfId="0" applyNumberFormat="1" applyFont="1" applyBorder="1"/>
    <xf numFmtId="173" fontId="7" fillId="0" borderId="36" xfId="0" applyNumberFormat="1" applyFont="1" applyBorder="1"/>
    <xf numFmtId="169" fontId="7" fillId="0" borderId="36" xfId="42" applyNumberFormat="1" applyFont="1" applyFill="1" applyBorder="1" applyAlignment="1">
      <alignment horizontal="center" vertical="top" wrapText="1"/>
    </xf>
    <xf numFmtId="173"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5" fontId="2" fillId="0" borderId="11" xfId="0" applyNumberFormat="1" applyFont="1" applyBorder="1" applyAlignment="1">
      <alignment horizontal="left"/>
    </xf>
    <xf numFmtId="174" fontId="6" fillId="0" borderId="45" xfId="42" applyNumberFormat="1" applyFont="1" applyBorder="1"/>
    <xf numFmtId="174" fontId="7" fillId="0" borderId="22" xfId="42" applyNumberFormat="1" applyFont="1" applyBorder="1" applyAlignment="1">
      <alignment vertical="top"/>
    </xf>
    <xf numFmtId="174" fontId="7" fillId="0" borderId="45" xfId="42" applyNumberFormat="1" applyFont="1" applyBorder="1" applyAlignment="1">
      <alignment vertical="top"/>
    </xf>
    <xf numFmtId="174" fontId="7" fillId="0" borderId="43" xfId="42" applyNumberFormat="1" applyFont="1" applyBorder="1"/>
    <xf numFmtId="172" fontId="7" fillId="25" borderId="22" xfId="0" applyNumberFormat="1" applyFont="1" applyFill="1" applyBorder="1"/>
    <xf numFmtId="174" fontId="7" fillId="25" borderId="22" xfId="42" applyNumberFormat="1" applyFont="1" applyFill="1" applyBorder="1"/>
    <xf numFmtId="173" fontId="7" fillId="0" borderId="47" xfId="0" applyNumberFormat="1" applyFont="1" applyFill="1" applyBorder="1"/>
    <xf numFmtId="173" fontId="7" fillId="0" borderId="61" xfId="0" applyNumberFormat="1" applyFont="1" applyFill="1" applyBorder="1"/>
    <xf numFmtId="9" fontId="7" fillId="0" borderId="31" xfId="42" applyFont="1" applyFill="1" applyBorder="1" applyAlignment="1">
      <alignment horizontal="center"/>
    </xf>
    <xf numFmtId="173" fontId="7" fillId="0" borderId="80" xfId="0" applyNumberFormat="1" applyFont="1" applyFill="1" applyBorder="1"/>
    <xf numFmtId="173" fontId="7" fillId="0" borderId="10" xfId="0" applyNumberFormat="1" applyFont="1" applyFill="1" applyBorder="1"/>
    <xf numFmtId="173" fontId="7" fillId="0" borderId="26" xfId="0" applyNumberFormat="1" applyFont="1" applyFill="1" applyBorder="1"/>
    <xf numFmtId="173" fontId="7" fillId="0" borderId="46" xfId="0" applyNumberFormat="1" applyFont="1" applyFill="1" applyBorder="1"/>
    <xf numFmtId="0" fontId="6" fillId="0" borderId="22" xfId="0" applyNumberFormat="1" applyFont="1" applyBorder="1" applyAlignment="1">
      <alignment horizontal="center"/>
    </xf>
    <xf numFmtId="173" fontId="7" fillId="0" borderId="31" xfId="0" applyNumberFormat="1" applyFont="1" applyFill="1" applyBorder="1" applyProtection="1"/>
    <xf numFmtId="173"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3" fontId="6" fillId="0" borderId="43" xfId="0" applyNumberFormat="1" applyFont="1" applyFill="1" applyBorder="1" applyProtection="1"/>
    <xf numFmtId="173" fontId="6" fillId="0" borderId="52" xfId="0" applyNumberFormat="1" applyFont="1" applyFill="1" applyBorder="1" applyProtection="1"/>
    <xf numFmtId="173" fontId="6" fillId="0" borderId="49" xfId="0" applyNumberFormat="1" applyFont="1" applyFill="1" applyBorder="1" applyProtection="1"/>
    <xf numFmtId="173" fontId="7" fillId="0" borderId="43" xfId="0" applyNumberFormat="1" applyFont="1" applyFill="1" applyBorder="1" applyProtection="1"/>
    <xf numFmtId="173" fontId="7" fillId="0" borderId="78" xfId="0" applyNumberFormat="1" applyFont="1" applyFill="1" applyBorder="1" applyProtection="1"/>
    <xf numFmtId="173" fontId="7" fillId="0" borderId="52" xfId="0" applyNumberFormat="1" applyFont="1" applyFill="1" applyBorder="1" applyProtection="1"/>
    <xf numFmtId="173" fontId="7" fillId="0" borderId="49" xfId="0" applyNumberFormat="1" applyFont="1" applyFill="1" applyBorder="1" applyProtection="1"/>
    <xf numFmtId="0" fontId="7" fillId="0" borderId="11" xfId="0" applyNumberFormat="1" applyFont="1" applyBorder="1" applyProtection="1"/>
    <xf numFmtId="173" fontId="7" fillId="0" borderId="43" xfId="0" applyNumberFormat="1" applyFont="1" applyFill="1" applyBorder="1"/>
    <xf numFmtId="173"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70" fontId="8" fillId="0" borderId="0" xfId="0" applyNumberFormat="1" applyFont="1" applyBorder="1" applyProtection="1">
      <protection locked="0"/>
    </xf>
    <xf numFmtId="0" fontId="8" fillId="0" borderId="0" xfId="0" applyFont="1" applyBorder="1" applyProtection="1"/>
    <xf numFmtId="170" fontId="8" fillId="0" borderId="0" xfId="0" applyNumberFormat="1" applyFont="1" applyBorder="1" applyProtection="1"/>
    <xf numFmtId="166" fontId="10" fillId="0" borderId="0" xfId="28" applyNumberFormat="1" applyFont="1" applyBorder="1" applyAlignment="1">
      <alignment horizontal="right"/>
    </xf>
    <xf numFmtId="166" fontId="10" fillId="0" borderId="0" xfId="28" applyNumberFormat="1" applyFont="1" applyFill="1" applyBorder="1" applyAlignment="1">
      <alignment horizontal="right"/>
    </xf>
    <xf numFmtId="173" fontId="6" fillId="0" borderId="0" xfId="0" applyNumberFormat="1" applyFont="1"/>
    <xf numFmtId="0" fontId="7" fillId="0" borderId="23" xfId="0" applyFont="1" applyFill="1" applyBorder="1" applyAlignment="1">
      <alignment horizontal="center"/>
    </xf>
    <xf numFmtId="173" fontId="6" fillId="0" borderId="31" xfId="0" applyNumberFormat="1" applyFont="1" applyFill="1" applyBorder="1"/>
    <xf numFmtId="9" fontId="6" fillId="0" borderId="31" xfId="42" applyFont="1" applyFill="1" applyBorder="1" applyAlignment="1">
      <alignment horizontal="center"/>
    </xf>
    <xf numFmtId="173" fontId="7" fillId="0" borderId="24" xfId="0" applyNumberFormat="1" applyFont="1" applyFill="1" applyBorder="1"/>
    <xf numFmtId="170" fontId="8" fillId="0" borderId="0" xfId="0" applyNumberFormat="1" applyFont="1" applyFill="1" applyBorder="1" applyProtection="1">
      <protection locked="0"/>
    </xf>
    <xf numFmtId="170" fontId="8" fillId="0" borderId="0" xfId="0" applyNumberFormat="1" applyFont="1" applyFill="1" applyBorder="1" applyProtection="1"/>
    <xf numFmtId="173" fontId="7" fillId="0" borderId="22" xfId="0" applyNumberFormat="1" applyFont="1" applyFill="1" applyBorder="1" applyProtection="1"/>
    <xf numFmtId="9" fontId="7" fillId="0" borderId="24" xfId="42" applyFont="1" applyFill="1" applyBorder="1" applyAlignment="1">
      <alignment horizontal="center"/>
    </xf>
    <xf numFmtId="173" fontId="7" fillId="0" borderId="50" xfId="0" applyNumberFormat="1" applyFont="1" applyFill="1" applyBorder="1"/>
    <xf numFmtId="173" fontId="7" fillId="0" borderId="58" xfId="0" applyNumberFormat="1" applyFont="1" applyFill="1" applyBorder="1"/>
    <xf numFmtId="173" fontId="7" fillId="0" borderId="46" xfId="0" applyNumberFormat="1" applyFont="1" applyFill="1" applyBorder="1" applyProtection="1"/>
    <xf numFmtId="173" fontId="6" fillId="0" borderId="46" xfId="0" applyNumberFormat="1" applyFont="1" applyFill="1" applyBorder="1" applyProtection="1"/>
    <xf numFmtId="173" fontId="6" fillId="0" borderId="46" xfId="29" applyNumberFormat="1" applyFont="1" applyFill="1" applyBorder="1" applyProtection="1"/>
    <xf numFmtId="173" fontId="7" fillId="0" borderId="55" xfId="0" applyNumberFormat="1" applyFont="1" applyFill="1" applyBorder="1"/>
    <xf numFmtId="173"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3" fontId="6" fillId="0" borderId="10" xfId="0" applyNumberFormat="1" applyFont="1" applyFill="1" applyBorder="1" applyProtection="1"/>
    <xf numFmtId="173" fontId="6" fillId="0" borderId="26" xfId="0" applyNumberFormat="1" applyFont="1" applyFill="1" applyBorder="1" applyProtection="1"/>
    <xf numFmtId="173" fontId="6" fillId="0" borderId="37" xfId="0" applyNumberFormat="1" applyFont="1" applyFill="1" applyBorder="1" applyProtection="1"/>
    <xf numFmtId="173" fontId="6" fillId="0" borderId="54" xfId="0" applyNumberFormat="1" applyFont="1" applyFill="1" applyBorder="1" applyProtection="1"/>
    <xf numFmtId="173" fontId="6" fillId="0" borderId="66" xfId="0" applyNumberFormat="1" applyFont="1" applyFill="1" applyBorder="1" applyProtection="1"/>
    <xf numFmtId="173" fontId="6" fillId="0" borderId="81" xfId="0" applyNumberFormat="1" applyFont="1" applyFill="1" applyBorder="1" applyProtection="1"/>
    <xf numFmtId="173" fontId="6" fillId="0" borderId="51" xfId="0" applyNumberFormat="1" applyFont="1" applyFill="1" applyBorder="1" applyProtection="1"/>
    <xf numFmtId="173" fontId="7" fillId="0" borderId="10" xfId="0" applyNumberFormat="1" applyFont="1" applyFill="1" applyBorder="1" applyAlignment="1" applyProtection="1">
      <alignment vertical="top"/>
    </xf>
    <xf numFmtId="173" fontId="7" fillId="0" borderId="26" xfId="0" applyNumberFormat="1" applyFont="1" applyFill="1" applyBorder="1" applyAlignment="1" applyProtection="1">
      <alignment vertical="top"/>
    </xf>
    <xf numFmtId="173" fontId="7" fillId="0" borderId="22" xfId="0" applyNumberFormat="1" applyFont="1" applyFill="1" applyBorder="1" applyAlignment="1" applyProtection="1">
      <alignment vertical="top"/>
    </xf>
    <xf numFmtId="173" fontId="7" fillId="0" borderId="37" xfId="0" applyNumberFormat="1" applyFont="1" applyFill="1" applyBorder="1" applyAlignment="1" applyProtection="1">
      <alignment vertical="top"/>
    </xf>
    <xf numFmtId="173" fontId="7" fillId="0" borderId="46" xfId="0" applyNumberFormat="1" applyFont="1" applyFill="1" applyBorder="1" applyAlignment="1" applyProtection="1">
      <alignment vertical="top"/>
    </xf>
    <xf numFmtId="173" fontId="7" fillId="0" borderId="54" xfId="0" applyNumberFormat="1" applyFont="1" applyFill="1" applyBorder="1" applyProtection="1"/>
    <xf numFmtId="173" fontId="7" fillId="0" borderId="66" xfId="0" applyNumberFormat="1" applyFont="1" applyFill="1" applyBorder="1" applyProtection="1"/>
    <xf numFmtId="173" fontId="7" fillId="0" borderId="36" xfId="0" applyNumberFormat="1" applyFont="1" applyFill="1" applyBorder="1" applyProtection="1"/>
    <xf numFmtId="173" fontId="7" fillId="0" borderId="81" xfId="0" applyNumberFormat="1" applyFont="1" applyFill="1" applyBorder="1" applyProtection="1"/>
    <xf numFmtId="173" fontId="7" fillId="0" borderId="51" xfId="0" applyNumberFormat="1" applyFont="1" applyFill="1" applyBorder="1" applyProtection="1"/>
    <xf numFmtId="173" fontId="7" fillId="0" borderId="10" xfId="0" applyNumberFormat="1" applyFont="1" applyFill="1" applyBorder="1" applyProtection="1"/>
    <xf numFmtId="173" fontId="7" fillId="0" borderId="26" xfId="0" applyNumberFormat="1" applyFont="1" applyFill="1" applyBorder="1" applyProtection="1"/>
    <xf numFmtId="173" fontId="7" fillId="0" borderId="37" xfId="0" applyNumberFormat="1" applyFont="1" applyFill="1" applyBorder="1" applyProtection="1"/>
    <xf numFmtId="173" fontId="7" fillId="0" borderId="67" xfId="0" applyNumberFormat="1" applyFont="1" applyFill="1" applyBorder="1" applyProtection="1"/>
    <xf numFmtId="173" fontId="7" fillId="0" borderId="45" xfId="0" applyNumberFormat="1" applyFont="1" applyFill="1" applyBorder="1" applyProtection="1"/>
    <xf numFmtId="173" fontId="6" fillId="0" borderId="45" xfId="0" applyNumberFormat="1" applyFont="1" applyFill="1" applyBorder="1" applyProtection="1"/>
    <xf numFmtId="173" fontId="6" fillId="0" borderId="45" xfId="28" applyNumberFormat="1" applyFont="1" applyFill="1" applyBorder="1" applyProtection="1"/>
    <xf numFmtId="173" fontId="6" fillId="0" borderId="22" xfId="28" applyNumberFormat="1" applyFont="1" applyFill="1" applyBorder="1" applyProtection="1"/>
    <xf numFmtId="173" fontId="6" fillId="0" borderId="46" xfId="28" applyNumberFormat="1" applyFont="1" applyFill="1" applyBorder="1" applyProtection="1"/>
    <xf numFmtId="9" fontId="6" fillId="0" borderId="46" xfId="42" applyFont="1" applyFill="1" applyBorder="1" applyAlignment="1" applyProtection="1">
      <alignment horizontal="center"/>
    </xf>
    <xf numFmtId="173" fontId="6" fillId="0" borderId="46" xfId="0" applyNumberFormat="1" applyFont="1" applyFill="1" applyBorder="1" applyAlignment="1" applyProtection="1">
      <alignment horizontal="center"/>
    </xf>
    <xf numFmtId="173" fontId="6" fillId="0" borderId="51" xfId="0" applyNumberFormat="1" applyFont="1" applyFill="1" applyBorder="1" applyAlignment="1" applyProtection="1">
      <alignment horizontal="center"/>
    </xf>
    <xf numFmtId="173" fontId="6" fillId="0" borderId="67" xfId="0" applyNumberFormat="1" applyFont="1" applyFill="1" applyBorder="1" applyProtection="1"/>
    <xf numFmtId="0" fontId="6" fillId="0" borderId="0" xfId="0" applyFont="1" applyFill="1" applyAlignment="1" applyProtection="1">
      <alignment horizontal="center"/>
    </xf>
    <xf numFmtId="166"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6"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7"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8" fontId="6" fillId="0" borderId="0" xfId="0" applyNumberFormat="1" applyFont="1" applyFill="1"/>
    <xf numFmtId="0" fontId="10" fillId="0" borderId="0" xfId="0" applyFont="1" applyFill="1" applyBorder="1" applyAlignment="1" applyProtection="1">
      <alignment horizontal="right"/>
    </xf>
    <xf numFmtId="169"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3" fontId="6" fillId="0" borderId="37" xfId="0" applyNumberFormat="1" applyFont="1" applyBorder="1" applyProtection="1"/>
    <xf numFmtId="173" fontId="6" fillId="0" borderId="26" xfId="0" applyNumberFormat="1" applyFont="1" applyBorder="1" applyProtection="1"/>
    <xf numFmtId="173" fontId="6" fillId="0" borderId="22" xfId="0" applyNumberFormat="1" applyFont="1" applyBorder="1" applyProtection="1"/>
    <xf numFmtId="173" fontId="6" fillId="0" borderId="0" xfId="0" applyNumberFormat="1" applyFont="1" applyBorder="1" applyProtection="1"/>
    <xf numFmtId="173" fontId="6" fillId="0" borderId="13" xfId="0" applyNumberFormat="1" applyFont="1" applyBorder="1" applyProtection="1"/>
    <xf numFmtId="173"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9" fontId="7" fillId="0" borderId="22" xfId="0" applyNumberFormat="1" applyFont="1" applyBorder="1" applyAlignment="1">
      <alignment horizontal="center"/>
    </xf>
    <xf numFmtId="169" fontId="6" fillId="0" borderId="22" xfId="42" applyNumberFormat="1" applyFont="1" applyBorder="1" applyAlignment="1">
      <alignment horizontal="center"/>
    </xf>
    <xf numFmtId="169" fontId="7" fillId="0" borderId="31" xfId="0" applyNumberFormat="1" applyFont="1" applyBorder="1"/>
    <xf numFmtId="169" fontId="6" fillId="0" borderId="22" xfId="0" applyNumberFormat="1" applyFont="1" applyBorder="1"/>
    <xf numFmtId="169" fontId="7" fillId="0" borderId="43" xfId="42" applyNumberFormat="1" applyFont="1" applyBorder="1" applyAlignment="1">
      <alignment horizontal="center"/>
    </xf>
    <xf numFmtId="169" fontId="7" fillId="0" borderId="29" xfId="42" applyNumberFormat="1" applyFont="1" applyBorder="1" applyAlignment="1">
      <alignment horizontal="center"/>
    </xf>
    <xf numFmtId="173"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3" fontId="6" fillId="32" borderId="22" xfId="0" applyNumberFormat="1" applyFont="1" applyFill="1" applyBorder="1" applyProtection="1">
      <protection locked="0"/>
    </xf>
    <xf numFmtId="173" fontId="6" fillId="32" borderId="43" xfId="0" applyNumberFormat="1" applyFont="1" applyFill="1" applyBorder="1" applyProtection="1">
      <protection locked="0"/>
    </xf>
    <xf numFmtId="173" fontId="6" fillId="32" borderId="46" xfId="0" applyNumberFormat="1" applyFont="1" applyFill="1" applyBorder="1" applyProtection="1">
      <protection locked="0"/>
    </xf>
    <xf numFmtId="173" fontId="6" fillId="32" borderId="49" xfId="0" applyNumberFormat="1" applyFont="1" applyFill="1" applyBorder="1" applyProtection="1">
      <protection locked="0"/>
    </xf>
    <xf numFmtId="173" fontId="7" fillId="32" borderId="43" xfId="0" applyNumberFormat="1" applyFont="1" applyFill="1" applyBorder="1" applyProtection="1">
      <protection locked="0"/>
    </xf>
    <xf numFmtId="173" fontId="7" fillId="32" borderId="49" xfId="0" applyNumberFormat="1" applyFont="1" applyFill="1" applyBorder="1" applyProtection="1">
      <protection locked="0"/>
    </xf>
    <xf numFmtId="173" fontId="6" fillId="32" borderId="37" xfId="0" applyNumberFormat="1" applyFont="1" applyFill="1" applyBorder="1" applyAlignment="1" applyProtection="1">
      <alignment horizontal="right"/>
      <protection locked="0"/>
    </xf>
    <xf numFmtId="173" fontId="6" fillId="32" borderId="26" xfId="0" applyNumberFormat="1" applyFont="1" applyFill="1" applyBorder="1" applyAlignment="1" applyProtection="1">
      <alignment horizontal="right"/>
      <protection locked="0"/>
    </xf>
    <xf numFmtId="173" fontId="6" fillId="32" borderId="22" xfId="0" applyNumberFormat="1" applyFont="1" applyFill="1" applyBorder="1" applyAlignment="1" applyProtection="1">
      <alignment horizontal="right"/>
      <protection locked="0"/>
    </xf>
    <xf numFmtId="173" fontId="6" fillId="32" borderId="0" xfId="0" applyNumberFormat="1" applyFont="1" applyFill="1" applyBorder="1" applyAlignment="1" applyProtection="1">
      <alignment horizontal="right"/>
      <protection locked="0"/>
    </xf>
    <xf numFmtId="173" fontId="6" fillId="32" borderId="13" xfId="0" applyNumberFormat="1" applyFont="1" applyFill="1" applyBorder="1" applyAlignment="1" applyProtection="1">
      <alignment horizontal="right"/>
      <protection locked="0"/>
    </xf>
    <xf numFmtId="173" fontId="6" fillId="32" borderId="37" xfId="0" applyNumberFormat="1" applyFont="1" applyFill="1" applyBorder="1" applyProtection="1">
      <protection locked="0"/>
    </xf>
    <xf numFmtId="173" fontId="6" fillId="32" borderId="26" xfId="0" applyNumberFormat="1" applyFont="1" applyFill="1" applyBorder="1" applyProtection="1">
      <protection locked="0"/>
    </xf>
    <xf numFmtId="173" fontId="6" fillId="32" borderId="0" xfId="0" applyNumberFormat="1" applyFont="1" applyFill="1" applyBorder="1" applyProtection="1">
      <protection locked="0"/>
    </xf>
    <xf numFmtId="173" fontId="6" fillId="32" borderId="13" xfId="0" applyNumberFormat="1" applyFont="1" applyFill="1" applyBorder="1" applyProtection="1">
      <protection locked="0"/>
    </xf>
    <xf numFmtId="173" fontId="6" fillId="32" borderId="10" xfId="0" applyNumberFormat="1" applyFont="1" applyFill="1" applyBorder="1" applyProtection="1">
      <protection locked="0"/>
    </xf>
    <xf numFmtId="173" fontId="6" fillId="32" borderId="54" xfId="0" applyNumberFormat="1" applyFont="1" applyFill="1" applyBorder="1" applyProtection="1">
      <protection locked="0"/>
    </xf>
    <xf numFmtId="173" fontId="6" fillId="32" borderId="66" xfId="0" applyNumberFormat="1" applyFont="1" applyFill="1" applyBorder="1" applyProtection="1">
      <protection locked="0"/>
    </xf>
    <xf numFmtId="173" fontId="6" fillId="32" borderId="36" xfId="0" applyNumberFormat="1" applyFont="1" applyFill="1" applyBorder="1" applyProtection="1">
      <protection locked="0"/>
    </xf>
    <xf numFmtId="173" fontId="6" fillId="32" borderId="51" xfId="0" applyNumberFormat="1" applyFont="1" applyFill="1" applyBorder="1" applyProtection="1">
      <protection locked="0"/>
    </xf>
    <xf numFmtId="173" fontId="6" fillId="32" borderId="45" xfId="0" applyNumberFormat="1" applyFont="1" applyFill="1" applyBorder="1" applyProtection="1">
      <protection locked="0"/>
    </xf>
    <xf numFmtId="173" fontId="6" fillId="32" borderId="46" xfId="28" applyNumberFormat="1" applyFont="1" applyFill="1" applyBorder="1" applyProtection="1">
      <protection locked="0"/>
    </xf>
    <xf numFmtId="173" fontId="6" fillId="32" borderId="45" xfId="28" applyNumberFormat="1" applyFont="1" applyFill="1" applyBorder="1" applyProtection="1">
      <protection locked="0"/>
    </xf>
    <xf numFmtId="173" fontId="6" fillId="32" borderId="22" xfId="28" applyNumberFormat="1" applyFont="1" applyFill="1" applyBorder="1" applyProtection="1">
      <protection locked="0"/>
    </xf>
    <xf numFmtId="173"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3" fontId="6" fillId="32" borderId="19" xfId="0" applyNumberFormat="1" applyFont="1" applyFill="1" applyBorder="1" applyProtection="1">
      <protection locked="0"/>
    </xf>
    <xf numFmtId="169" fontId="6" fillId="32" borderId="10" xfId="42" applyNumberFormat="1" applyFont="1" applyFill="1" applyBorder="1" applyAlignment="1" applyProtection="1">
      <alignment horizontal="center" vertical="top" wrapText="1"/>
      <protection locked="0"/>
    </xf>
    <xf numFmtId="169" fontId="6" fillId="32" borderId="45" xfId="42" applyNumberFormat="1" applyFont="1" applyFill="1" applyBorder="1" applyAlignment="1" applyProtection="1">
      <alignment horizontal="center" vertical="top" wrapText="1"/>
      <protection locked="0"/>
    </xf>
    <xf numFmtId="169" fontId="6" fillId="32" borderId="22" xfId="42" applyNumberFormat="1" applyFont="1" applyFill="1" applyBorder="1" applyAlignment="1" applyProtection="1">
      <alignment horizontal="center" vertical="top" wrapText="1"/>
      <protection locked="0"/>
    </xf>
    <xf numFmtId="169" fontId="6" fillId="32" borderId="46" xfId="42" applyNumberFormat="1" applyFont="1" applyFill="1" applyBorder="1" applyAlignment="1" applyProtection="1">
      <alignment horizontal="center" vertical="top" wrapText="1"/>
      <protection locked="0"/>
    </xf>
    <xf numFmtId="169" fontId="6" fillId="32" borderId="19" xfId="42" applyNumberFormat="1" applyFont="1" applyFill="1" applyBorder="1" applyAlignment="1" applyProtection="1">
      <alignment horizontal="center" vertical="top" wrapText="1"/>
      <protection locked="0"/>
    </xf>
    <xf numFmtId="169" fontId="6" fillId="32" borderId="58" xfId="42" applyNumberFormat="1" applyFont="1" applyFill="1" applyBorder="1" applyAlignment="1" applyProtection="1">
      <alignment horizontal="center" vertical="top" wrapText="1"/>
      <protection locked="0"/>
    </xf>
    <xf numFmtId="169" fontId="6" fillId="32" borderId="24" xfId="42" applyNumberFormat="1" applyFont="1" applyFill="1" applyBorder="1" applyAlignment="1" applyProtection="1">
      <alignment horizontal="center" vertical="top" wrapText="1"/>
      <protection locked="0"/>
    </xf>
    <xf numFmtId="169" fontId="6" fillId="32" borderId="50" xfId="42" applyNumberFormat="1" applyFont="1" applyFill="1" applyBorder="1" applyAlignment="1" applyProtection="1">
      <alignment horizontal="center" vertical="top" wrapText="1"/>
      <protection locked="0"/>
    </xf>
    <xf numFmtId="170" fontId="6" fillId="32" borderId="0" xfId="0" applyNumberFormat="1" applyFont="1" applyFill="1" applyBorder="1" applyProtection="1">
      <protection locked="0"/>
    </xf>
    <xf numFmtId="170" fontId="6" fillId="32" borderId="13" xfId="0" applyNumberFormat="1" applyFont="1" applyFill="1" applyBorder="1" applyProtection="1">
      <protection locked="0"/>
    </xf>
    <xf numFmtId="170" fontId="6" fillId="32" borderId="0" xfId="28" applyNumberFormat="1" applyFont="1" applyFill="1" applyBorder="1" applyProtection="1">
      <protection locked="0"/>
    </xf>
    <xf numFmtId="170" fontId="6" fillId="32" borderId="13" xfId="28" applyNumberFormat="1" applyFont="1" applyFill="1" applyBorder="1" applyProtection="1">
      <protection locked="0"/>
    </xf>
    <xf numFmtId="170" fontId="6" fillId="32" borderId="14" xfId="28" applyNumberFormat="1" applyFont="1" applyFill="1" applyBorder="1" applyProtection="1">
      <protection locked="0"/>
    </xf>
    <xf numFmtId="170" fontId="6" fillId="32" borderId="14" xfId="0" applyNumberFormat="1" applyFont="1" applyFill="1" applyBorder="1" applyProtection="1">
      <protection locked="0"/>
    </xf>
    <xf numFmtId="170"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3" fontId="6" fillId="32" borderId="67" xfId="0" applyNumberFormat="1" applyFont="1" applyFill="1" applyBorder="1" applyProtection="1">
      <protection locked="0"/>
    </xf>
    <xf numFmtId="173"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3" fontId="7" fillId="32" borderId="67" xfId="0" applyNumberFormat="1" applyFont="1" applyFill="1" applyBorder="1" applyProtection="1">
      <protection locked="0"/>
    </xf>
    <xf numFmtId="173"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3" fontId="7" fillId="32" borderId="10" xfId="0" applyNumberFormat="1" applyFont="1" applyFill="1" applyBorder="1" applyProtection="1">
      <protection locked="0"/>
    </xf>
    <xf numFmtId="173" fontId="7" fillId="32" borderId="26" xfId="0" applyNumberFormat="1" applyFont="1" applyFill="1" applyBorder="1" applyProtection="1">
      <protection locked="0"/>
    </xf>
    <xf numFmtId="173" fontId="7" fillId="32" borderId="22" xfId="0" applyNumberFormat="1" applyFont="1" applyFill="1" applyBorder="1" applyProtection="1">
      <protection locked="0"/>
    </xf>
    <xf numFmtId="173"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3"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6"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6"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73"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9" fontId="7" fillId="0" borderId="46" xfId="42" applyNumberFormat="1" applyFont="1" applyFill="1" applyBorder="1" applyAlignment="1">
      <alignment horizontal="center" wrapText="1"/>
    </xf>
    <xf numFmtId="169" fontId="6" fillId="0" borderId="49" xfId="42" applyNumberFormat="1" applyFont="1" applyFill="1" applyBorder="1" applyAlignment="1">
      <alignment horizontal="center" vertical="top" wrapText="1"/>
    </xf>
    <xf numFmtId="169" fontId="7" fillId="0" borderId="49" xfId="42" applyNumberFormat="1" applyFont="1" applyFill="1" applyBorder="1" applyAlignment="1">
      <alignment horizontal="center" vertical="top" wrapText="1"/>
    </xf>
    <xf numFmtId="169" fontId="7" fillId="0" borderId="47" xfId="42" applyNumberFormat="1" applyFont="1" applyFill="1" applyBorder="1" applyAlignment="1">
      <alignment horizontal="center" vertical="top" wrapText="1"/>
    </xf>
    <xf numFmtId="169"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3" fontId="6" fillId="0" borderId="11" xfId="0" applyNumberFormat="1" applyFont="1" applyBorder="1"/>
    <xf numFmtId="173" fontId="7" fillId="0" borderId="11" xfId="0" applyNumberFormat="1" applyFont="1" applyBorder="1"/>
    <xf numFmtId="173"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3" fontId="7" fillId="0" borderId="54" xfId="0" applyNumberFormat="1" applyFont="1" applyFill="1" applyBorder="1"/>
    <xf numFmtId="173" fontId="7" fillId="0" borderId="62" xfId="0" applyNumberFormat="1" applyFont="1" applyFill="1" applyBorder="1"/>
    <xf numFmtId="173" fontId="7" fillId="0" borderId="36" xfId="0" applyNumberFormat="1" applyFont="1" applyFill="1" applyBorder="1"/>
    <xf numFmtId="173"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7" fontId="6" fillId="32" borderId="46" xfId="0" applyNumberFormat="1" applyFont="1" applyFill="1" applyBorder="1" applyAlignment="1" applyProtection="1">
      <alignment horizontal="center"/>
      <protection locked="0"/>
    </xf>
    <xf numFmtId="173" fontId="6" fillId="32" borderId="26" xfId="0" applyNumberFormat="1" applyFont="1" applyFill="1" applyBorder="1" applyAlignment="1" applyProtection="1">
      <protection locked="0"/>
    </xf>
    <xf numFmtId="173" fontId="6" fillId="32" borderId="45" xfId="0" applyNumberFormat="1" applyFont="1" applyFill="1" applyBorder="1" applyAlignment="1" applyProtection="1">
      <protection locked="0"/>
    </xf>
    <xf numFmtId="173" fontId="6" fillId="32" borderId="22" xfId="0" applyNumberFormat="1" applyFont="1" applyFill="1" applyBorder="1" applyAlignment="1" applyProtection="1">
      <protection locked="0"/>
    </xf>
    <xf numFmtId="173" fontId="7" fillId="0" borderId="46" xfId="0" applyNumberFormat="1" applyFont="1" applyBorder="1" applyAlignment="1" applyProtection="1"/>
    <xf numFmtId="0" fontId="6" fillId="0" borderId="78" xfId="0" applyNumberFormat="1" applyFont="1" applyBorder="1" applyAlignment="1">
      <alignment horizontal="center"/>
    </xf>
    <xf numFmtId="177" fontId="6" fillId="0" borderId="49" xfId="0" applyNumberFormat="1" applyFont="1" applyBorder="1" applyAlignment="1">
      <alignment horizontal="center"/>
    </xf>
    <xf numFmtId="173" fontId="7" fillId="0" borderId="52" xfId="0" applyNumberFormat="1" applyFont="1" applyBorder="1" applyAlignment="1"/>
    <xf numFmtId="173" fontId="7" fillId="0" borderId="60" xfId="0" applyNumberFormat="1" applyFont="1" applyBorder="1" applyAlignment="1"/>
    <xf numFmtId="173" fontId="7" fillId="0" borderId="43" xfId="0" applyNumberFormat="1" applyFont="1" applyBorder="1" applyAlignment="1"/>
    <xf numFmtId="173" fontId="7" fillId="0" borderId="49" xfId="0" applyNumberFormat="1" applyFont="1" applyBorder="1" applyAlignment="1"/>
    <xf numFmtId="0" fontId="6" fillId="0" borderId="37" xfId="0" applyNumberFormat="1" applyFont="1" applyBorder="1" applyAlignment="1">
      <alignment horizontal="center"/>
    </xf>
    <xf numFmtId="177" fontId="6" fillId="0" borderId="46" xfId="0" applyNumberFormat="1" applyFont="1" applyBorder="1" applyAlignment="1">
      <alignment horizontal="center"/>
    </xf>
    <xf numFmtId="173" fontId="6" fillId="0" borderId="26" xfId="0" applyNumberFormat="1" applyFont="1" applyBorder="1" applyAlignment="1"/>
    <xf numFmtId="173" fontId="6" fillId="0" borderId="45" xfId="0" applyNumberFormat="1" applyFont="1" applyBorder="1" applyAlignment="1"/>
    <xf numFmtId="173" fontId="6" fillId="0" borderId="22" xfId="0" applyNumberFormat="1" applyFont="1" applyBorder="1" applyAlignment="1"/>
    <xf numFmtId="173" fontId="6" fillId="0" borderId="46" xfId="0" applyNumberFormat="1" applyFont="1" applyBorder="1" applyAlignment="1"/>
    <xf numFmtId="0" fontId="6" fillId="0" borderId="52" xfId="0" applyNumberFormat="1" applyFont="1" applyBorder="1" applyAlignment="1">
      <alignment horizontal="center"/>
    </xf>
    <xf numFmtId="173" fontId="7" fillId="0" borderId="26" xfId="0" applyNumberFormat="1" applyFont="1" applyBorder="1" applyAlignment="1"/>
    <xf numFmtId="173" fontId="7" fillId="0" borderId="45" xfId="0" applyNumberFormat="1" applyFont="1" applyBorder="1" applyAlignment="1"/>
    <xf numFmtId="173" fontId="7" fillId="0" borderId="22" xfId="0" applyNumberFormat="1" applyFont="1" applyBorder="1" applyAlignment="1"/>
    <xf numFmtId="173"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7" fontId="6" fillId="0" borderId="50" xfId="0" applyNumberFormat="1" applyFont="1" applyBorder="1" applyAlignment="1">
      <alignment horizontal="center"/>
    </xf>
    <xf numFmtId="173" fontId="7" fillId="0" borderId="30" xfId="0" applyNumberFormat="1" applyFont="1" applyBorder="1" applyAlignment="1"/>
    <xf numFmtId="173" fontId="7" fillId="0" borderId="64" xfId="0" applyNumberFormat="1" applyFont="1" applyBorder="1" applyAlignment="1"/>
    <xf numFmtId="173" fontId="7" fillId="0" borderId="29" xfId="0" applyNumberFormat="1" applyFont="1" applyBorder="1" applyAlignment="1"/>
    <xf numFmtId="173" fontId="7" fillId="0" borderId="56" xfId="0" applyNumberFormat="1" applyFont="1" applyBorder="1" applyAlignment="1"/>
    <xf numFmtId="173" fontId="6" fillId="0" borderId="10" xfId="0" applyNumberFormat="1" applyFont="1" applyFill="1" applyBorder="1" applyAlignment="1" applyProtection="1">
      <alignment horizontal="left" vertical="top" wrapText="1" indent="1"/>
    </xf>
    <xf numFmtId="173" fontId="6" fillId="0" borderId="26" xfId="0" applyNumberFormat="1" applyFont="1" applyFill="1" applyBorder="1" applyAlignment="1" applyProtection="1">
      <alignment horizontal="left" vertical="top" wrapText="1" indent="1"/>
    </xf>
    <xf numFmtId="173" fontId="6" fillId="0" borderId="22" xfId="0" applyNumberFormat="1" applyFont="1" applyFill="1" applyBorder="1" applyAlignment="1" applyProtection="1">
      <alignment horizontal="left" vertical="top" wrapText="1" indent="1"/>
    </xf>
    <xf numFmtId="173" fontId="6" fillId="0" borderId="37" xfId="0" applyNumberFormat="1" applyFont="1" applyFill="1" applyBorder="1" applyAlignment="1" applyProtection="1">
      <alignment horizontal="left" vertical="top" wrapText="1" indent="1"/>
    </xf>
    <xf numFmtId="174" fontId="6" fillId="0" borderId="22" xfId="42" applyNumberFormat="1" applyFont="1" applyBorder="1" applyAlignment="1">
      <alignment horizontal="left" vertical="top" wrapText="1" indent="1"/>
    </xf>
    <xf numFmtId="173"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70" fontId="6" fillId="0" borderId="10" xfId="0" applyNumberFormat="1" applyFont="1" applyBorder="1" applyAlignment="1">
      <alignment horizontal="left" vertical="top" wrapText="1" indent="1"/>
    </xf>
    <xf numFmtId="173" fontId="6" fillId="32" borderId="45" xfId="0" applyNumberFormat="1" applyFont="1" applyFill="1" applyBorder="1" applyAlignment="1" applyProtection="1">
      <alignment horizontal="left" vertical="top" wrapText="1" indent="1"/>
      <protection locked="0"/>
    </xf>
    <xf numFmtId="173" fontId="6" fillId="32" borderId="22" xfId="0" applyNumberFormat="1" applyFont="1" applyFill="1" applyBorder="1" applyAlignment="1" applyProtection="1">
      <alignment horizontal="left" vertical="top" wrapText="1" indent="1"/>
      <protection locked="0"/>
    </xf>
    <xf numFmtId="173" fontId="6" fillId="0" borderId="37" xfId="0" applyNumberFormat="1" applyFont="1" applyBorder="1" applyAlignment="1">
      <alignment horizontal="left" vertical="top" wrapText="1" indent="1"/>
    </xf>
    <xf numFmtId="173" fontId="6" fillId="32" borderId="26" xfId="0" applyNumberFormat="1" applyFont="1" applyFill="1" applyBorder="1" applyAlignment="1" applyProtection="1">
      <alignment horizontal="left" vertical="top" wrapText="1" indent="1"/>
      <protection locked="0"/>
    </xf>
    <xf numFmtId="173" fontId="6" fillId="32" borderId="46" xfId="0" applyNumberFormat="1" applyFont="1" applyFill="1" applyBorder="1" applyAlignment="1" applyProtection="1">
      <alignment horizontal="left" vertical="top" wrapText="1" indent="1"/>
      <protection locked="0"/>
    </xf>
    <xf numFmtId="173" fontId="6" fillId="32" borderId="37" xfId="0" applyNumberFormat="1" applyFont="1" applyFill="1" applyBorder="1" applyAlignment="1" applyProtection="1">
      <alignment horizontal="center"/>
      <protection locked="0"/>
    </xf>
    <xf numFmtId="164" fontId="6" fillId="32" borderId="22" xfId="0" applyNumberFormat="1" applyFont="1" applyFill="1" applyBorder="1" applyProtection="1">
      <protection locked="0"/>
    </xf>
    <xf numFmtId="0" fontId="6" fillId="32" borderId="11" xfId="0" applyNumberFormat="1" applyFont="1" applyFill="1" applyBorder="1" applyAlignment="1" applyProtection="1">
      <alignment horizontal="left" indent="2"/>
      <protection locked="0"/>
    </xf>
    <xf numFmtId="3" fontId="16" fillId="32" borderId="18" xfId="0" applyNumberFormat="1" applyFont="1" applyFill="1" applyBorder="1" applyAlignment="1" applyProtection="1">
      <alignment horizontal="justify" wrapText="1"/>
      <protection locked="0"/>
    </xf>
    <xf numFmtId="3" fontId="16" fillId="32" borderId="65" xfId="0" applyNumberFormat="1" applyFont="1" applyFill="1" applyBorder="1" applyAlignment="1" applyProtection="1">
      <alignment horizontal="justify" wrapText="1"/>
      <protection locked="0"/>
    </xf>
    <xf numFmtId="9" fontId="6" fillId="32" borderId="10" xfId="0" applyNumberFormat="1" applyFont="1" applyFill="1" applyBorder="1" applyProtection="1">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490583211.2100001</c:v>
                </c:pt>
                <c:pt idx="1">
                  <c:v>124257158.44999999</c:v>
                </c:pt>
                <c:pt idx="2">
                  <c:v>103560399.73000002</c:v>
                </c:pt>
                <c:pt idx="3">
                  <c:v>105719131.37</c:v>
                </c:pt>
                <c:pt idx="4">
                  <c:v>96444847.749999985</c:v>
                </c:pt>
                <c:pt idx="5">
                  <c:v>96671243.459999993</c:v>
                </c:pt>
                <c:pt idx="6">
                  <c:v>548792448.8499999</c:v>
                </c:pt>
                <c:pt idx="7">
                  <c:v>3436121524.9899998</c:v>
                </c:pt>
              </c:numCache>
            </c:numRef>
          </c:val>
          <c:extLst>
            <c:ext xmlns:c16="http://schemas.microsoft.com/office/drawing/2014/chart" uri="{C3380CC4-5D6E-409C-BE32-E72D297353CC}">
              <c16:uniqueId val="{00000000-1AC1-4CA6-835E-D70612AAED3D}"/>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544796088.12999988</c:v>
                </c:pt>
                <c:pt idx="1">
                  <c:v>134082105.61000001</c:v>
                </c:pt>
                <c:pt idx="2">
                  <c:v>107816829.06</c:v>
                </c:pt>
                <c:pt idx="3">
                  <c:v>104195684.89</c:v>
                </c:pt>
                <c:pt idx="4">
                  <c:v>93072838.600000009</c:v>
                </c:pt>
                <c:pt idx="5">
                  <c:v>122498073.30000001</c:v>
                </c:pt>
                <c:pt idx="6">
                  <c:v>494026774.62</c:v>
                </c:pt>
                <c:pt idx="7">
                  <c:v>2751479564.2600002</c:v>
                </c:pt>
              </c:numCache>
            </c:numRef>
          </c:val>
          <c:extLst>
            <c:ext xmlns:c16="http://schemas.microsoft.com/office/drawing/2014/chart" uri="{C3380CC4-5D6E-409C-BE32-E72D297353CC}">
              <c16:uniqueId val="{00000001-1AC1-4CA6-835E-D70612AAED3D}"/>
            </c:ext>
          </c:extLst>
        </c:ser>
        <c:dLbls>
          <c:showLegendKey val="0"/>
          <c:showVal val="0"/>
          <c:showCatName val="0"/>
          <c:showSerName val="0"/>
          <c:showPercent val="0"/>
          <c:showBubbleSize val="0"/>
        </c:dLbls>
        <c:gapWidth val="150"/>
        <c:shape val="box"/>
        <c:axId val="332911264"/>
        <c:axId val="1"/>
        <c:axId val="0"/>
      </c:bar3DChart>
      <c:catAx>
        <c:axId val="3329112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329112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218793538.3845</c:v>
                </c:pt>
                <c:pt idx="1">
                  <c:v>740418236.16279995</c:v>
                </c:pt>
                <c:pt idx="2">
                  <c:v>3654173386.5218992</c:v>
                </c:pt>
                <c:pt idx="3">
                  <c:v>238700305.7665</c:v>
                </c:pt>
              </c:numCache>
            </c:numRef>
          </c:val>
          <c:extLst>
            <c:ext xmlns:c16="http://schemas.microsoft.com/office/drawing/2014/chart" uri="{C3380CC4-5D6E-409C-BE32-E72D297353CC}">
              <c16:uniqueId val="{00000000-A1C0-41AB-9783-A436A12D100F}"/>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225560348.84999999</c:v>
                </c:pt>
                <c:pt idx="1">
                  <c:v>763317769.24000001</c:v>
                </c:pt>
                <c:pt idx="2">
                  <c:v>3767189058.2699995</c:v>
                </c:pt>
                <c:pt idx="3">
                  <c:v>246082789.44999999</c:v>
                </c:pt>
              </c:numCache>
            </c:numRef>
          </c:val>
          <c:extLst>
            <c:ext xmlns:c16="http://schemas.microsoft.com/office/drawing/2014/chart" uri="{C3380CC4-5D6E-409C-BE32-E72D297353CC}">
              <c16:uniqueId val="{00000001-A1C0-41AB-9783-A436A12D100F}"/>
            </c:ext>
          </c:extLst>
        </c:ser>
        <c:dLbls>
          <c:showLegendKey val="0"/>
          <c:showVal val="0"/>
          <c:showCatName val="0"/>
          <c:showSerName val="0"/>
          <c:showPercent val="0"/>
          <c:showBubbleSize val="0"/>
        </c:dLbls>
        <c:gapWidth val="150"/>
        <c:shape val="box"/>
        <c:axId val="447510792"/>
        <c:axId val="1"/>
        <c:axId val="0"/>
      </c:bar3DChart>
      <c:catAx>
        <c:axId val="4475107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47510792"/>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164560536.94999999</c:v>
                </c:pt>
                <c:pt idx="1">
                  <c:v>123702041.89</c:v>
                </c:pt>
                <c:pt idx="2">
                  <c:v>0</c:v>
                </c:pt>
                <c:pt idx="3">
                  <c:v>212743550.15000001</c:v>
                </c:pt>
                <c:pt idx="4">
                  <c:v>0</c:v>
                </c:pt>
                <c:pt idx="5">
                  <c:v>0</c:v>
                </c:pt>
                <c:pt idx="6">
                  <c:v>80150338.99000001</c:v>
                </c:pt>
                <c:pt idx="7">
                  <c:v>0</c:v>
                </c:pt>
                <c:pt idx="8">
                  <c:v>228302380.55000001</c:v>
                </c:pt>
              </c:numCache>
            </c:numRef>
          </c:val>
          <c:extLst>
            <c:ext xmlns:c16="http://schemas.microsoft.com/office/drawing/2014/chart" uri="{C3380CC4-5D6E-409C-BE32-E72D297353CC}">
              <c16:uniqueId val="{00000000-F3B9-4F8D-A90A-9F89963A321F}"/>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146516671.94</c:v>
                </c:pt>
                <c:pt idx="1">
                  <c:v>273018236.42000002</c:v>
                </c:pt>
                <c:pt idx="2">
                  <c:v>0</c:v>
                </c:pt>
                <c:pt idx="3">
                  <c:v>224044485.74000001</c:v>
                </c:pt>
                <c:pt idx="4">
                  <c:v>0</c:v>
                </c:pt>
                <c:pt idx="5">
                  <c:v>0</c:v>
                </c:pt>
                <c:pt idx="6">
                  <c:v>90002638.310000002</c:v>
                </c:pt>
                <c:pt idx="7">
                  <c:v>0</c:v>
                </c:pt>
                <c:pt idx="8">
                  <c:v>254746268.64000002</c:v>
                </c:pt>
              </c:numCache>
            </c:numRef>
          </c:val>
          <c:extLst>
            <c:ext xmlns:c16="http://schemas.microsoft.com/office/drawing/2014/chart" uri="{C3380CC4-5D6E-409C-BE32-E72D297353CC}">
              <c16:uniqueId val="{00000001-F3B9-4F8D-A90A-9F89963A321F}"/>
            </c:ext>
          </c:extLst>
        </c:ser>
        <c:dLbls>
          <c:showLegendKey val="0"/>
          <c:showVal val="0"/>
          <c:showCatName val="0"/>
          <c:showSerName val="0"/>
          <c:showPercent val="0"/>
          <c:showBubbleSize val="0"/>
        </c:dLbls>
        <c:gapWidth val="150"/>
        <c:shape val="box"/>
        <c:axId val="447509808"/>
        <c:axId val="1"/>
        <c:axId val="0"/>
      </c:bar3DChart>
      <c:catAx>
        <c:axId val="4475098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098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E3E2-4762-B7C6-642C15F81326}"/>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E3E2-4762-B7C6-642C15F81326}"/>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3E2-4762-B7C6-642C15F81326}"/>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936648.53999999957</c:v>
                </c:pt>
                <c:pt idx="1">
                  <c:v>28293360.050000001</c:v>
                </c:pt>
                <c:pt idx="2">
                  <c:v>51276404.180000007</c:v>
                </c:pt>
                <c:pt idx="3">
                  <c:v>34751661.439999998</c:v>
                </c:pt>
                <c:pt idx="4">
                  <c:v>64917006.57</c:v>
                </c:pt>
                <c:pt idx="5">
                  <c:v>66421825.969999984</c:v>
                </c:pt>
                <c:pt idx="6">
                  <c:v>4048843.38</c:v>
                </c:pt>
                <c:pt idx="7">
                  <c:v>35188377.060000002</c:v>
                </c:pt>
                <c:pt idx="8">
                  <c:v>30125543.949999999</c:v>
                </c:pt>
                <c:pt idx="9">
                  <c:v>69137296.340000004</c:v>
                </c:pt>
                <c:pt idx="10">
                  <c:v>35226258.649999999</c:v>
                </c:pt>
                <c:pt idx="11">
                  <c:v>0</c:v>
                </c:pt>
              </c:numCache>
            </c:numRef>
          </c:val>
          <c:extLst>
            <c:ext xmlns:c16="http://schemas.microsoft.com/office/drawing/2014/chart" uri="{C3380CC4-5D6E-409C-BE32-E72D297353CC}">
              <c16:uniqueId val="{00000003-E3E2-4762-B7C6-642C15F81326}"/>
            </c:ext>
          </c:extLst>
        </c:ser>
        <c:dLbls>
          <c:showLegendKey val="0"/>
          <c:showVal val="0"/>
          <c:showCatName val="0"/>
          <c:showSerName val="0"/>
          <c:showPercent val="0"/>
          <c:showBubbleSize val="0"/>
        </c:dLbls>
        <c:gapWidth val="150"/>
        <c:shape val="box"/>
        <c:axId val="447512432"/>
        <c:axId val="1"/>
        <c:axId val="0"/>
      </c:bar3DChart>
      <c:catAx>
        <c:axId val="44751243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243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936648.53999999957</c:v>
                </c:pt>
                <c:pt idx="1">
                  <c:v>29230008.59</c:v>
                </c:pt>
                <c:pt idx="2">
                  <c:v>80506412.770000011</c:v>
                </c:pt>
                <c:pt idx="3">
                  <c:v>115258074.21000001</c:v>
                </c:pt>
                <c:pt idx="4">
                  <c:v>180175080.78</c:v>
                </c:pt>
                <c:pt idx="5">
                  <c:v>246596906.75</c:v>
                </c:pt>
                <c:pt idx="6">
                  <c:v>250645750.13</c:v>
                </c:pt>
                <c:pt idx="7">
                  <c:v>285834127.19</c:v>
                </c:pt>
                <c:pt idx="8">
                  <c:v>315959671.13999999</c:v>
                </c:pt>
                <c:pt idx="9">
                  <c:v>385096967.48000002</c:v>
                </c:pt>
                <c:pt idx="10">
                  <c:v>420323226.13</c:v>
                </c:pt>
                <c:pt idx="11">
                  <c:v>0</c:v>
                </c:pt>
              </c:numCache>
            </c:numRef>
          </c:val>
          <c:extLst>
            <c:ext xmlns:c16="http://schemas.microsoft.com/office/drawing/2014/chart" uri="{C3380CC4-5D6E-409C-BE32-E72D297353CC}">
              <c16:uniqueId val="{00000000-DD8C-494E-847B-47578620F5EC}"/>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DD8C-494E-847B-47578620F5EC}"/>
            </c:ext>
          </c:extLst>
        </c:ser>
        <c:dLbls>
          <c:showLegendKey val="0"/>
          <c:showVal val="0"/>
          <c:showCatName val="0"/>
          <c:showSerName val="0"/>
          <c:showPercent val="0"/>
          <c:showBubbleSize val="0"/>
        </c:dLbls>
        <c:gapWidth val="150"/>
        <c:shape val="box"/>
        <c:axId val="447518992"/>
        <c:axId val="1"/>
        <c:axId val="0"/>
      </c:bar3DChart>
      <c:catAx>
        <c:axId val="44751899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899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3" noThreeD="1" sel="14" val="9"/>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11" val="9"/>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497" name="Group 28"/>
        <xdr:cNvGrpSpPr>
          <a:grpSpLocks/>
        </xdr:cNvGrpSpPr>
      </xdr:nvGrpSpPr>
      <xdr:grpSpPr bwMode="auto">
        <a:xfrm>
          <a:off x="0" y="0"/>
          <a:ext cx="8601075" cy="6400800"/>
          <a:chOff x="0" y="0"/>
          <a:chExt cx="903" cy="672"/>
        </a:xfrm>
      </xdr:grpSpPr>
      <xdr:grpSp>
        <xdr:nvGrpSpPr>
          <xdr:cNvPr id="1656499" name="Group 1"/>
          <xdr:cNvGrpSpPr>
            <a:grpSpLocks/>
          </xdr:cNvGrpSpPr>
        </xdr:nvGrpSpPr>
        <xdr:grpSpPr bwMode="auto">
          <a:xfrm>
            <a:off x="0" y="0"/>
            <a:ext cx="903" cy="672"/>
            <a:chOff x="0" y="0"/>
            <a:chExt cx="791" cy="672"/>
          </a:xfrm>
        </xdr:grpSpPr>
        <xdr:grpSp>
          <xdr:nvGrpSpPr>
            <xdr:cNvPr id="1656501" name="Group 2"/>
            <xdr:cNvGrpSpPr>
              <a:grpSpLocks/>
            </xdr:cNvGrpSpPr>
          </xdr:nvGrpSpPr>
          <xdr:grpSpPr bwMode="auto">
            <a:xfrm>
              <a:off x="0" y="0"/>
              <a:ext cx="791" cy="672"/>
              <a:chOff x="12" y="17"/>
              <a:chExt cx="791" cy="672"/>
            </a:xfrm>
          </xdr:grpSpPr>
          <xdr:pic>
            <xdr:nvPicPr>
              <xdr:cNvPr id="165650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05" name="Group 5"/>
              <xdr:cNvGrpSpPr>
                <a:grpSpLocks/>
              </xdr:cNvGrpSpPr>
            </xdr:nvGrpSpPr>
            <xdr:grpSpPr bwMode="auto">
              <a:xfrm>
                <a:off x="416" y="255"/>
                <a:ext cx="367" cy="413"/>
                <a:chOff x="416" y="255"/>
                <a:chExt cx="367" cy="413"/>
              </a:xfrm>
            </xdr:grpSpPr>
            <xdr:pic>
              <xdr:nvPicPr>
                <xdr:cNvPr id="165651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11" name="Group 7"/>
                <xdr:cNvGrpSpPr>
                  <a:grpSpLocks/>
                </xdr:cNvGrpSpPr>
              </xdr:nvGrpSpPr>
              <xdr:grpSpPr bwMode="auto">
                <a:xfrm>
                  <a:off x="432" y="264"/>
                  <a:ext cx="286" cy="128"/>
                  <a:chOff x="426" y="263"/>
                  <a:chExt cx="290" cy="130"/>
                </a:xfrm>
              </xdr:grpSpPr>
              <xdr:pic>
                <xdr:nvPicPr>
                  <xdr:cNvPr id="165651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51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06" name="Group 11"/>
              <xdr:cNvGrpSpPr>
                <a:grpSpLocks/>
              </xdr:cNvGrpSpPr>
            </xdr:nvGrpSpPr>
            <xdr:grpSpPr bwMode="auto">
              <a:xfrm>
                <a:off x="76" y="364"/>
                <a:ext cx="289" cy="256"/>
                <a:chOff x="76" y="364"/>
                <a:chExt cx="289" cy="256"/>
              </a:xfrm>
            </xdr:grpSpPr>
            <xdr:pic>
              <xdr:nvPicPr>
                <xdr:cNvPr id="165650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0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16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16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178" name="TextBox2"/>
            <xdr:cNvPicPr preferRelativeResize="0">
              <a:picLocks noChangeArrowheads="1" noChangeShapeType="1"/>
              <a:extLst>
                <a:ext uri="{84589F7E-364E-4C9E-8A38-B11213B215E9}">
                  <a14:cameraTool cellRange="FinYear" spid="_x0000_s1758700"/>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18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1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2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29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29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29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29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N38" sqref="N3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47" t="str">
        <f>muni&amp; " - "&amp;S71C&amp; " - "&amp;date</f>
        <v>KZN225 Msunduzi - Table C3 Consolidated Monthly Budget Statement - Financial Performance (revenue and expenditure by municipal vote)  - M11 May</v>
      </c>
      <c r="B1" s="1047"/>
      <c r="C1" s="1047"/>
      <c r="D1" s="1047"/>
      <c r="E1" s="1047"/>
      <c r="F1" s="1047"/>
      <c r="G1" s="1047"/>
      <c r="H1" s="1047"/>
      <c r="I1" s="1047"/>
      <c r="J1" s="1047"/>
      <c r="K1" s="1047"/>
    </row>
    <row r="2" spans="1:24" x14ac:dyDescent="0.25">
      <c r="A2" s="20" t="str">
        <f>Vdesc</f>
        <v>Vote Description</v>
      </c>
      <c r="B2" s="1038" t="str">
        <f>head27</f>
        <v>Ref</v>
      </c>
      <c r="C2" s="142" t="str">
        <f>Head1</f>
        <v>2019/20</v>
      </c>
      <c r="D2" s="1040" t="str">
        <f>Head2</f>
        <v>Budget Year 2020/21</v>
      </c>
      <c r="E2" s="1041"/>
      <c r="F2" s="1041"/>
      <c r="G2" s="1041"/>
      <c r="H2" s="1041"/>
      <c r="I2" s="1041"/>
      <c r="J2" s="1041"/>
      <c r="K2" s="1042"/>
    </row>
    <row r="3" spans="1:24" ht="25.5" x14ac:dyDescent="0.25">
      <c r="A3" s="168"/>
      <c r="B3" s="1049"/>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50"/>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325.93999999998891</v>
      </c>
      <c r="D6" s="46">
        <f>'C3C'!D6</f>
        <v>4447530.0133999996</v>
      </c>
      <c r="E6" s="44">
        <f>'C3C'!E6</f>
        <v>4447530.0133999996</v>
      </c>
      <c r="F6" s="44">
        <f>'C3C'!F6</f>
        <v>0</v>
      </c>
      <c r="G6" s="44">
        <f>'C3C'!G6</f>
        <v>297000</v>
      </c>
      <c r="H6" s="44">
        <f>'C3C'!H6</f>
        <v>4076902.5122833331</v>
      </c>
      <c r="I6" s="44">
        <f>G6-H6</f>
        <v>-3779902.5122833331</v>
      </c>
      <c r="J6" s="715">
        <f>IF(I6=0,"",I6/H6)</f>
        <v>-0.92715057593229999</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1641040016.2699997</v>
      </c>
      <c r="D7" s="46">
        <f>'C3C'!D17</f>
        <v>2396133945.7871332</v>
      </c>
      <c r="E7" s="44">
        <f>'C3C'!E17</f>
        <v>2485131945.7871332</v>
      </c>
      <c r="F7" s="44">
        <f>'C3C'!F17</f>
        <v>91284478.969999999</v>
      </c>
      <c r="G7" s="44">
        <f>'C3C'!G17</f>
        <v>1560191816.1500001</v>
      </c>
      <c r="H7" s="44">
        <f>'C3C'!H17</f>
        <v>2278037616.9715385</v>
      </c>
      <c r="I7" s="44">
        <f t="shared" ref="I7:I20" si="0">G7-H7</f>
        <v>-717845800.82153845</v>
      </c>
      <c r="J7" s="715">
        <f t="shared" ref="J7:J21" si="1">IF(I7=0,"",I7/H7)</f>
        <v>-0.31511586791786816</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200023446.69999999</v>
      </c>
      <c r="D8" s="46">
        <f>'C3C'!D28</f>
        <v>214664344.29579172</v>
      </c>
      <c r="E8" s="44">
        <f>'C3C'!E28</f>
        <v>214664344.29579172</v>
      </c>
      <c r="F8" s="44">
        <f>'C3C'!F28</f>
        <v>29003165.470000006</v>
      </c>
      <c r="G8" s="44">
        <f>'C3C'!G28</f>
        <v>188322722.60000002</v>
      </c>
      <c r="H8" s="44">
        <f>'C3C'!H28</f>
        <v>196775648.93780905</v>
      </c>
      <c r="I8" s="44">
        <f t="shared" si="0"/>
        <v>-8452926.3378090262</v>
      </c>
      <c r="J8" s="715">
        <f t="shared" si="1"/>
        <v>-4.2957176781973534E-2</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10720708.949999999</v>
      </c>
      <c r="D9" s="46">
        <f>'C3C'!D39</f>
        <v>19239180.686499998</v>
      </c>
      <c r="E9" s="44">
        <f>'C3C'!E39</f>
        <v>19239180.686499998</v>
      </c>
      <c r="F9" s="44">
        <f>'C3C'!F39</f>
        <v>655752.74</v>
      </c>
      <c r="G9" s="44">
        <f>'C3C'!G39</f>
        <v>5639322.9400000004</v>
      </c>
      <c r="H9" s="44">
        <f>'C3C'!H39</f>
        <v>17635915.629291665</v>
      </c>
      <c r="I9" s="44">
        <f t="shared" si="0"/>
        <v>-11996592.689291663</v>
      </c>
      <c r="J9" s="715">
        <f t="shared" si="1"/>
        <v>-0.68023645278538336</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3770506292.9300003</v>
      </c>
      <c r="D10" s="46">
        <f>'C3C'!D50</f>
        <v>3376346372.7014918</v>
      </c>
      <c r="E10" s="44">
        <f>'C3C'!E50</f>
        <v>3376346372.7014918</v>
      </c>
      <c r="F10" s="44">
        <f>'C3C'!F50</f>
        <v>299379994.95999998</v>
      </c>
      <c r="G10" s="44">
        <f>'C3C'!G50</f>
        <v>3708252485.4000006</v>
      </c>
      <c r="H10" s="44">
        <f>'C3C'!H50</f>
        <v>3094984174.9763675</v>
      </c>
      <c r="I10" s="44">
        <f t="shared" si="0"/>
        <v>613268310.4236331</v>
      </c>
      <c r="J10" s="715">
        <f t="shared" si="1"/>
        <v>0.19814909406711775</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167753159.20999998</v>
      </c>
      <c r="D11" s="46">
        <f>'C3C'!D61</f>
        <v>432870465.38774735</v>
      </c>
      <c r="E11" s="44">
        <f>'C3C'!E61</f>
        <v>495093158.38774735</v>
      </c>
      <c r="F11" s="44">
        <f>'C3C'!F61</f>
        <v>9100681.8599999994</v>
      </c>
      <c r="G11" s="44">
        <f>'C3C'!G61</f>
        <v>125656883.97</v>
      </c>
      <c r="H11" s="44">
        <f>'C3C'!H61</f>
        <v>453835395.18876845</v>
      </c>
      <c r="I11" s="44">
        <f t="shared" si="0"/>
        <v>-328178511.21876848</v>
      </c>
      <c r="J11" s="715">
        <f t="shared" si="1"/>
        <v>-0.72312233619915389</v>
      </c>
      <c r="K11" s="144">
        <f>'C3C'!K61</f>
        <v>495093158.38774735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5790043950</v>
      </c>
      <c r="D21" s="74">
        <f t="shared" ref="D21:I21" si="2">SUM(D6:D20)</f>
        <v>6443701838.8720646</v>
      </c>
      <c r="E21" s="73">
        <f t="shared" si="2"/>
        <v>6594922531.8720646</v>
      </c>
      <c r="F21" s="73">
        <f t="shared" si="2"/>
        <v>429424074</v>
      </c>
      <c r="G21" s="73">
        <f t="shared" si="2"/>
        <v>5588360231.0600004</v>
      </c>
      <c r="H21" s="73">
        <f t="shared" si="2"/>
        <v>6045345654.2160587</v>
      </c>
      <c r="I21" s="73">
        <f t="shared" si="2"/>
        <v>-456985423.15605795</v>
      </c>
      <c r="J21" s="716">
        <f t="shared" si="1"/>
        <v>-7.5592935341481038E-2</v>
      </c>
      <c r="K21" s="145">
        <f>SUM(K6:K20)</f>
        <v>6594922531.8720646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156640668.94000003</v>
      </c>
      <c r="D24" s="46">
        <f>'C3C'!D174</f>
        <v>181805355.87582266</v>
      </c>
      <c r="E24" s="44">
        <f>'C3C'!E174</f>
        <v>187429782.20182845</v>
      </c>
      <c r="F24" s="44">
        <f>'C3C'!F174</f>
        <v>12520309.010000002</v>
      </c>
      <c r="G24" s="44">
        <f>'C3C'!G174</f>
        <v>128547102.08999999</v>
      </c>
      <c r="H24" s="44">
        <f>'C3C'!H174</f>
        <v>171810633.68500942</v>
      </c>
      <c r="I24" s="44">
        <f t="shared" ref="I24:I38" si="3">G24-H24</f>
        <v>-43263531.595009431</v>
      </c>
      <c r="J24" s="715">
        <f t="shared" ref="J24:J29" si="4">IF(I24=0,"",I24/H24)</f>
        <v>-0.25180939425627763</v>
      </c>
      <c r="K24" s="144">
        <f>'C3C'!K174</f>
        <v>187429782.20182845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489444288.83000004</v>
      </c>
      <c r="D25" s="46">
        <f>'C3C'!D185</f>
        <v>700877661.2400291</v>
      </c>
      <c r="E25" s="44">
        <f>'C3C'!E185</f>
        <v>705258982.70556009</v>
      </c>
      <c r="F25" s="44">
        <f>'C3C'!F185</f>
        <v>60171548.590000004</v>
      </c>
      <c r="G25" s="44">
        <f>'C3C'!G185</f>
        <v>411053236.89000005</v>
      </c>
      <c r="H25" s="44">
        <f>'C3C'!H185</f>
        <v>646487400.81343019</v>
      </c>
      <c r="I25" s="44">
        <f t="shared" si="3"/>
        <v>-235434163.92343014</v>
      </c>
      <c r="J25" s="715">
        <f t="shared" si="4"/>
        <v>-0.36417440405984663</v>
      </c>
      <c r="K25" s="144">
        <f>'C3C'!K185</f>
        <v>705258982.70556009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734370884.89999974</v>
      </c>
      <c r="D26" s="46">
        <f>'C3C'!D196</f>
        <v>743751614.16259539</v>
      </c>
      <c r="E26" s="44">
        <f>'C3C'!E196</f>
        <v>769029279.16259539</v>
      </c>
      <c r="F26" s="44">
        <f>'C3C'!F196</f>
        <v>66891475.539999999</v>
      </c>
      <c r="G26" s="44">
        <f>'C3C'!G196</f>
        <v>742612114.71999979</v>
      </c>
      <c r="H26" s="44">
        <f>'C3C'!H196</f>
        <v>704943505.89904571</v>
      </c>
      <c r="I26" s="44">
        <f t="shared" si="3"/>
        <v>37668608.820954084</v>
      </c>
      <c r="J26" s="715">
        <f t="shared" si="4"/>
        <v>5.3434932736792347E-2</v>
      </c>
      <c r="K26" s="144">
        <f>'C3C'!K196</f>
        <v>769029279.16259539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155921670.60000002</v>
      </c>
      <c r="D27" s="46">
        <f>'C3C'!D207</f>
        <v>200548950.39124021</v>
      </c>
      <c r="E27" s="44">
        <f>'C3C'!E207</f>
        <v>215358953.39108872</v>
      </c>
      <c r="F27" s="44">
        <f>'C3C'!F207</f>
        <v>15562962.289999997</v>
      </c>
      <c r="G27" s="44">
        <f>'C3C'!G207</f>
        <v>135687445.82000002</v>
      </c>
      <c r="H27" s="44">
        <f>'C3C'!H207</f>
        <v>197412373.94183132</v>
      </c>
      <c r="I27" s="44">
        <f t="shared" si="3"/>
        <v>-61724928.121831298</v>
      </c>
      <c r="J27" s="715">
        <f t="shared" si="4"/>
        <v>-0.31267000588331356</v>
      </c>
      <c r="K27" s="144">
        <f>'C3C'!K207</f>
        <v>215358953.39108872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3776349725.2899971</v>
      </c>
      <c r="D28" s="46">
        <f>'C3C'!D218</f>
        <v>3393288719.277081</v>
      </c>
      <c r="E28" s="44">
        <f>'C3C'!E218</f>
        <v>3407283654.0811782</v>
      </c>
      <c r="F28" s="44">
        <f>'C3C'!F218</f>
        <v>218105718.88999999</v>
      </c>
      <c r="G28" s="44">
        <f>'C3C'!G218</f>
        <v>3189407509.710001</v>
      </c>
      <c r="H28" s="44">
        <f>'C3C'!H218</f>
        <v>3123343349.5744133</v>
      </c>
      <c r="I28" s="44">
        <f t="shared" si="3"/>
        <v>66064160.135587692</v>
      </c>
      <c r="J28" s="715">
        <f t="shared" si="4"/>
        <v>2.1151744378212402E-2</v>
      </c>
      <c r="K28" s="144">
        <f>'C3C'!K218</f>
        <v>3407283654.0811782</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253921598.99000007</v>
      </c>
      <c r="D29" s="46">
        <f>'C3C'!D229</f>
        <v>296205168.59786338</v>
      </c>
      <c r="E29" s="44">
        <f>'C3C'!E229</f>
        <v>388790375.15482336</v>
      </c>
      <c r="F29" s="44">
        <f>'C3C'!F229</f>
        <v>20475521.610000003</v>
      </c>
      <c r="G29" s="44">
        <f>'C3C'!G229</f>
        <v>222991452.66999993</v>
      </c>
      <c r="H29" s="44">
        <f>'C3C'!H229</f>
        <v>356391177.22525477</v>
      </c>
      <c r="I29" s="44">
        <f t="shared" si="3"/>
        <v>-133399724.55525485</v>
      </c>
      <c r="J29" s="715">
        <f t="shared" si="4"/>
        <v>-0.3743070341804236</v>
      </c>
      <c r="K29" s="144">
        <f>'C3C'!K229</f>
        <v>388790375.15482336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5566648837.5499973</v>
      </c>
      <c r="D39" s="475">
        <f t="shared" ref="D39:I39" si="6">SUM(D24:D38)</f>
        <v>5516477469.544631</v>
      </c>
      <c r="E39" s="430">
        <f t="shared" si="6"/>
        <v>5673151026.6970739</v>
      </c>
      <c r="F39" s="430">
        <f t="shared" si="6"/>
        <v>393727535.93000001</v>
      </c>
      <c r="G39" s="430">
        <f t="shared" si="6"/>
        <v>4830298861.9000006</v>
      </c>
      <c r="H39" s="430">
        <f t="shared" si="6"/>
        <v>5200388441.1389847</v>
      </c>
      <c r="I39" s="430">
        <f t="shared" si="6"/>
        <v>-370089579.23898399</v>
      </c>
      <c r="J39" s="718">
        <f>IF(I39=0,"",I39/H39)</f>
        <v>-7.1165756832950594E-2</v>
      </c>
      <c r="K39" s="513">
        <f>SUM(K24:K38)</f>
        <v>5673151026.6970739</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223395112.45000267</v>
      </c>
      <c r="D40" s="56">
        <f t="shared" si="7"/>
        <v>927224369.32743359</v>
      </c>
      <c r="E40" s="55">
        <f t="shared" si="7"/>
        <v>921771505.17499065</v>
      </c>
      <c r="F40" s="55">
        <f t="shared" si="7"/>
        <v>35696538.069999993</v>
      </c>
      <c r="G40" s="55">
        <f t="shared" si="7"/>
        <v>758061369.15999985</v>
      </c>
      <c r="H40" s="55">
        <f t="shared" si="7"/>
        <v>844957213.07707405</v>
      </c>
      <c r="I40" s="55">
        <f>I21-I39</f>
        <v>-86895843.917073965</v>
      </c>
      <c r="J40" s="719">
        <f>IF(I40=0,"",I40/H40)</f>
        <v>-0.10284052561741683</v>
      </c>
      <c r="K40" s="235">
        <f>K21-K39</f>
        <v>921771505.17499065</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s="25" customFormat="1" ht="11.25" customHeight="1" x14ac:dyDescent="0.25">
      <c r="A49" s="67"/>
    </row>
    <row r="50" spans="1:1" s="25" customFormat="1" ht="11.25" customHeight="1" x14ac:dyDescent="0.25">
      <c r="A50" s="67"/>
    </row>
    <row r="51" spans="1:1" s="25" customFormat="1" ht="11.25" customHeight="1" x14ac:dyDescent="0.25"/>
    <row r="52" spans="1:1" s="25" customFormat="1" ht="11.25" customHeight="1" x14ac:dyDescent="0.25"/>
    <row r="53" spans="1:1" s="25" customFormat="1" ht="11.25" customHeight="1" x14ac:dyDescent="0.25"/>
    <row r="54" spans="1:1" s="25" customFormat="1" ht="11.25" customHeight="1" x14ac:dyDescent="0.25"/>
    <row r="55" spans="1:1" s="25" customFormat="1" ht="11.25" customHeight="1" x14ac:dyDescent="0.25"/>
    <row r="56" spans="1:1" s="25" customFormat="1" ht="11.25" customHeight="1" x14ac:dyDescent="0.25"/>
    <row r="57" spans="1:1" s="25" customFormat="1" ht="11.25" customHeight="1" x14ac:dyDescent="0.25"/>
    <row r="58" spans="1:1" s="25" customFormat="1" ht="11.25" customHeight="1" x14ac:dyDescent="0.25"/>
    <row r="59" spans="1:1" s="25" customFormat="1" ht="11.25" customHeight="1" x14ac:dyDescent="0.25"/>
    <row r="60" spans="1:1" s="25" customFormat="1" ht="11.25" customHeight="1" x14ac:dyDescent="0.25"/>
    <row r="61" spans="1:1" s="25" customFormat="1" ht="11.25" customHeight="1" x14ac:dyDescent="0.25"/>
    <row r="62" spans="1:1" s="25" customFormat="1" ht="11.25" customHeight="1" x14ac:dyDescent="0.25"/>
    <row r="63" spans="1:1" s="25" customFormat="1" ht="11.25" customHeight="1" x14ac:dyDescent="0.25"/>
    <row r="64" spans="1:1" s="25" customFormat="1" ht="11.25" customHeight="1" x14ac:dyDescent="0.25"/>
    <row r="65" s="25" customFormat="1" ht="11.25" customHeight="1" x14ac:dyDescent="0.25"/>
    <row r="66" s="25" customFormat="1" ht="11.25" customHeight="1" x14ac:dyDescent="0.25"/>
    <row r="67" s="25" customFormat="1" ht="11.25" customHeight="1" x14ac:dyDescent="0.25"/>
    <row r="68" s="25" customFormat="1" ht="11.25" customHeight="1" x14ac:dyDescent="0.25"/>
    <row r="69" s="25" customFormat="1" ht="11.25" customHeight="1" x14ac:dyDescent="0.25"/>
    <row r="70" s="25" customFormat="1" ht="11.25" customHeight="1" x14ac:dyDescent="0.25"/>
    <row r="71" s="25" customFormat="1" ht="11.25" customHeight="1" x14ac:dyDescent="0.25"/>
    <row r="72" s="25" customFormat="1" ht="11.25" customHeight="1" x14ac:dyDescent="0.25"/>
    <row r="73" s="25" customFormat="1" ht="11.25" customHeight="1" x14ac:dyDescent="0.25"/>
    <row r="74" s="25" customFormat="1" ht="11.25" customHeight="1" x14ac:dyDescent="0.25"/>
    <row r="75" s="25" customFormat="1" ht="11.25" customHeight="1" x14ac:dyDescent="0.25"/>
    <row r="76" s="25" customFormat="1" ht="11.25" customHeight="1" x14ac:dyDescent="0.25"/>
    <row r="77" s="25" customFormat="1" ht="11.25" customHeight="1" x14ac:dyDescent="0.25"/>
    <row r="78" s="25" customFormat="1" ht="11.25" customHeight="1" x14ac:dyDescent="0.25"/>
    <row r="79" s="25" customFormat="1"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196" activePane="bottomRight" state="frozen"/>
      <selection pane="topRight"/>
      <selection pane="bottomLeft"/>
      <selection pane="bottomRight" activeCell="C230" sqref="C230:C234"/>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Consolidated Monthly Budget Statement - Financial Performance (revenue and expenditure by municipal vote)  - A - M11 May</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40" t="str">
        <f>Head2</f>
        <v>Budget Year 2020/21</v>
      </c>
      <c r="E2" s="1041"/>
      <c r="F2" s="1041"/>
      <c r="G2" s="1041"/>
      <c r="H2" s="1041"/>
      <c r="I2" s="1041"/>
      <c r="J2" s="1041"/>
      <c r="K2" s="1042"/>
      <c r="L2" s="1051" t="e">
        <f>Head4</f>
        <v>#REF!</v>
      </c>
      <c r="M2" s="1052"/>
      <c r="N2" s="1052"/>
      <c r="O2" s="1052"/>
      <c r="P2" s="1052"/>
      <c r="Q2" s="1052"/>
      <c r="R2" s="1052"/>
      <c r="S2" s="1052"/>
      <c r="T2" s="1052"/>
      <c r="U2" s="1052"/>
      <c r="V2" s="1052"/>
      <c r="W2" s="1053"/>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325.93999999998891</v>
      </c>
      <c r="D6" s="444">
        <f t="shared" ref="D6:K6" si="0">SUM(D7:D16)</f>
        <v>4447530.0133999996</v>
      </c>
      <c r="E6" s="441">
        <f t="shared" si="0"/>
        <v>4447530.0133999996</v>
      </c>
      <c r="F6" s="443">
        <f t="shared" si="0"/>
        <v>0</v>
      </c>
      <c r="G6" s="441">
        <f t="shared" si="0"/>
        <v>297000</v>
      </c>
      <c r="H6" s="443">
        <f t="shared" si="0"/>
        <v>4076902.5122833331</v>
      </c>
      <c r="I6" s="44">
        <f t="shared" ref="I6:I69" si="1">G6-H6</f>
        <v>-3779902.5122833331</v>
      </c>
      <c r="J6" s="330">
        <f t="shared" ref="J6:J69" si="2">IF(I6=0,"",I6/H6)</f>
        <v>-0.92715057593229999</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v>34.9</v>
      </c>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v>129164.97</v>
      </c>
      <c r="D8" s="740">
        <v>4447530.0133999996</v>
      </c>
      <c r="E8" s="741">
        <v>4447530.0133999996</v>
      </c>
      <c r="F8" s="742"/>
      <c r="G8" s="741">
        <v>-3000</v>
      </c>
      <c r="H8" s="742">
        <f>E8/12*11</f>
        <v>4076902.5122833331</v>
      </c>
      <c r="I8" s="44">
        <f t="shared" si="1"/>
        <v>-4079902.5122833331</v>
      </c>
      <c r="J8" s="330">
        <f t="shared" si="2"/>
        <v>-1.0007358527683605</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v>-128887.71</v>
      </c>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v>13.78</v>
      </c>
      <c r="D10" s="740"/>
      <c r="E10" s="741"/>
      <c r="F10" s="742"/>
      <c r="G10" s="741">
        <v>300000</v>
      </c>
      <c r="H10" s="742"/>
      <c r="I10" s="44">
        <f t="shared" si="1"/>
        <v>300000</v>
      </c>
      <c r="J10" s="330" t="e">
        <f t="shared" si="2"/>
        <v>#DIV/0!</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1641040016.2699997</v>
      </c>
      <c r="D17" s="444">
        <f t="shared" ref="D17:K17" si="3">SUM(D18:D27)</f>
        <v>2396133945.7871332</v>
      </c>
      <c r="E17" s="441">
        <f t="shared" si="3"/>
        <v>2485131945.7871332</v>
      </c>
      <c r="F17" s="443">
        <f t="shared" si="3"/>
        <v>91284478.969999999</v>
      </c>
      <c r="G17" s="441">
        <f t="shared" si="3"/>
        <v>1560191816.1500001</v>
      </c>
      <c r="H17" s="443">
        <f t="shared" si="3"/>
        <v>2278037616.9715385</v>
      </c>
      <c r="I17" s="44">
        <f t="shared" si="1"/>
        <v>-717845800.82153845</v>
      </c>
      <c r="J17" s="330">
        <f t="shared" si="2"/>
        <v>-0.31511586791786816</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v>40943851.560000002</v>
      </c>
      <c r="D18" s="740"/>
      <c r="E18" s="741"/>
      <c r="F18" s="742">
        <v>1214115.45</v>
      </c>
      <c r="G18" s="741">
        <v>4658793.0999999996</v>
      </c>
      <c r="H18" s="742"/>
      <c r="I18" s="44">
        <f t="shared" si="1"/>
        <v>4658793.0999999996</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v>314420414.69999999</v>
      </c>
      <c r="D19" s="740">
        <v>518591000.00000095</v>
      </c>
      <c r="E19" s="741">
        <v>607589000.00000095</v>
      </c>
      <c r="F19" s="742">
        <v>913531.67</v>
      </c>
      <c r="G19" s="741">
        <v>384290565.14999998</v>
      </c>
      <c r="H19" s="742">
        <f>E19/12*11</f>
        <v>556956583.33333421</v>
      </c>
      <c r="I19" s="44">
        <f t="shared" si="1"/>
        <v>-172666018.18333423</v>
      </c>
      <c r="J19" s="330">
        <f t="shared" si="2"/>
        <v>-0.31001701631740108</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v>264.31</v>
      </c>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v>1285595512.3599999</v>
      </c>
      <c r="D21" s="740">
        <v>1877542945.7871323</v>
      </c>
      <c r="E21" s="741">
        <v>1877542945.7871323</v>
      </c>
      <c r="F21" s="742">
        <v>89154313.129999995</v>
      </c>
      <c r="G21" s="741">
        <v>1171141469.6900001</v>
      </c>
      <c r="H21" s="742">
        <f>E21/12*11</f>
        <v>1721081033.6382046</v>
      </c>
      <c r="I21" s="44">
        <f t="shared" si="1"/>
        <v>-549939563.94820452</v>
      </c>
      <c r="J21" s="330">
        <f t="shared" si="2"/>
        <v>-0.31953147655440933</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v>79973.34</v>
      </c>
      <c r="D22" s="740"/>
      <c r="E22" s="741"/>
      <c r="F22" s="742">
        <v>2518.7199999999998</v>
      </c>
      <c r="G22" s="741">
        <v>100988.21</v>
      </c>
      <c r="H22" s="742"/>
      <c r="I22" s="44">
        <f t="shared" si="1"/>
        <v>100988.21</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200023446.69999999</v>
      </c>
      <c r="D28" s="444">
        <f t="shared" si="4"/>
        <v>214664344.29579172</v>
      </c>
      <c r="E28" s="441">
        <f t="shared" si="4"/>
        <v>214664344.29579172</v>
      </c>
      <c r="F28" s="443">
        <f>SUM(F29:F32)</f>
        <v>29003165.470000006</v>
      </c>
      <c r="G28" s="441">
        <f>SUM(G29:G32)</f>
        <v>188322722.60000002</v>
      </c>
      <c r="H28" s="443">
        <f t="shared" si="4"/>
        <v>196775648.93780905</v>
      </c>
      <c r="I28" s="44">
        <f t="shared" si="1"/>
        <v>-8452926.3378090262</v>
      </c>
      <c r="J28" s="330">
        <f t="shared" si="2"/>
        <v>-4.2957176781973534E-2</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v>790002.4</v>
      </c>
      <c r="D29" s="740">
        <v>3523188.2817999995</v>
      </c>
      <c r="E29" s="741">
        <v>3523188.2817999995</v>
      </c>
      <c r="F29" s="742">
        <v>22668.92</v>
      </c>
      <c r="G29" s="741">
        <v>149957.04</v>
      </c>
      <c r="H29" s="741">
        <f t="shared" ref="H29:H32" si="5">E29/12*11</f>
        <v>3229589.2583166664</v>
      </c>
      <c r="I29" s="258">
        <f t="shared" si="1"/>
        <v>-3079632.2183166663</v>
      </c>
      <c r="J29" s="330">
        <f t="shared" si="2"/>
        <v>-0.95356776728996151</v>
      </c>
      <c r="K29" s="743">
        <f t="shared" ref="K29:K32" si="6">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v>15025160.9</v>
      </c>
      <c r="D30" s="740">
        <v>4814533.8647999996</v>
      </c>
      <c r="E30" s="741">
        <v>4814533.8647999996</v>
      </c>
      <c r="F30" s="742">
        <v>16820271.620000001</v>
      </c>
      <c r="G30" s="741">
        <v>19968519.510000002</v>
      </c>
      <c r="H30" s="742">
        <f t="shared" si="5"/>
        <v>4413322.7094000001</v>
      </c>
      <c r="I30" s="44">
        <f t="shared" si="1"/>
        <v>15555196.800600002</v>
      </c>
      <c r="J30" s="330">
        <f t="shared" si="2"/>
        <v>3.5245999046180696</v>
      </c>
      <c r="K30" s="743">
        <f t="shared" si="6"/>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v>38380324.759999998</v>
      </c>
      <c r="D31" s="740">
        <v>21976054.78726843</v>
      </c>
      <c r="E31" s="741">
        <v>21976054.78726843</v>
      </c>
      <c r="F31" s="742">
        <v>1280762.6200000001</v>
      </c>
      <c r="G31" s="741">
        <v>23257535.969999999</v>
      </c>
      <c r="H31" s="742">
        <f t="shared" si="5"/>
        <v>20144716.888329394</v>
      </c>
      <c r="I31" s="44">
        <f t="shared" si="1"/>
        <v>3112819.0816706046</v>
      </c>
      <c r="J31" s="330">
        <f t="shared" si="2"/>
        <v>0.15452285077652195</v>
      </c>
      <c r="K31" s="743">
        <f t="shared" si="6"/>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v>145827958.63999999</v>
      </c>
      <c r="D32" s="740">
        <v>184350567.36192328</v>
      </c>
      <c r="E32" s="741">
        <v>184350567.36192328</v>
      </c>
      <c r="F32" s="742">
        <v>10879462.310000001</v>
      </c>
      <c r="G32" s="741">
        <v>144946710.08000001</v>
      </c>
      <c r="H32" s="742">
        <f t="shared" si="5"/>
        <v>168988020.081763</v>
      </c>
      <c r="I32" s="44">
        <f t="shared" si="1"/>
        <v>-24041310.001762986</v>
      </c>
      <c r="J32" s="330">
        <f t="shared" si="2"/>
        <v>-0.14226635704785973</v>
      </c>
      <c r="K32" s="743">
        <f t="shared" si="6"/>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v>16068403.749999996</v>
      </c>
      <c r="G33" s="741">
        <v>66465672.390000001</v>
      </c>
      <c r="H33" s="742"/>
      <c r="I33" s="44">
        <f t="shared" si="1"/>
        <v>66465672.390000001</v>
      </c>
      <c r="J33" s="330" t="e">
        <f t="shared" si="2"/>
        <v>#DIV/0!</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7">SUM(C40:C49)</f>
        <v>10720708.949999999</v>
      </c>
      <c r="D39" s="444">
        <f t="shared" si="7"/>
        <v>19239180.686499998</v>
      </c>
      <c r="E39" s="441">
        <f t="shared" si="7"/>
        <v>19239180.686499998</v>
      </c>
      <c r="F39" s="443">
        <f t="shared" si="7"/>
        <v>655752.74</v>
      </c>
      <c r="G39" s="441">
        <f t="shared" si="7"/>
        <v>5639322.9400000004</v>
      </c>
      <c r="H39" s="443">
        <f t="shared" si="7"/>
        <v>17635915.629291665</v>
      </c>
      <c r="I39" s="44">
        <f t="shared" si="1"/>
        <v>-11996592.689291663</v>
      </c>
      <c r="J39" s="330">
        <f t="shared" si="2"/>
        <v>-0.68023645278538336</v>
      </c>
      <c r="K39" s="442">
        <f t="shared" si="7"/>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v>3019034.71</v>
      </c>
      <c r="D40" s="740">
        <v>18980058.640900001</v>
      </c>
      <c r="E40" s="741">
        <v>18980058.640900001</v>
      </c>
      <c r="F40" s="742">
        <v>44795</v>
      </c>
      <c r="G40" s="741">
        <v>1865049.13</v>
      </c>
      <c r="H40" s="742">
        <f t="shared" ref="H40:H42" si="8">E40/12*11</f>
        <v>17398387.087491665</v>
      </c>
      <c r="I40" s="44">
        <f t="shared" si="1"/>
        <v>-15533337.957491666</v>
      </c>
      <c r="J40" s="330">
        <f t="shared" si="2"/>
        <v>-0.89280333167544879</v>
      </c>
      <c r="K40" s="743">
        <f t="shared" ref="K40:K42" si="9">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v>616.54</v>
      </c>
      <c r="D41" s="740">
        <v>2016.0139999999999</v>
      </c>
      <c r="E41" s="741">
        <v>2016.0139999999999</v>
      </c>
      <c r="F41" s="742">
        <v>301.73</v>
      </c>
      <c r="G41" s="741">
        <v>534.77</v>
      </c>
      <c r="H41" s="742">
        <f t="shared" si="8"/>
        <v>1848.0128333333332</v>
      </c>
      <c r="I41" s="44">
        <f t="shared" si="1"/>
        <v>-1313.2428333333332</v>
      </c>
      <c r="J41" s="330">
        <f t="shared" si="2"/>
        <v>-0.71062430392573928</v>
      </c>
      <c r="K41" s="743">
        <f t="shared" si="9"/>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v>135.57</v>
      </c>
      <c r="D42" s="740">
        <v>257106.03159999999</v>
      </c>
      <c r="E42" s="741">
        <v>257106.03159999999</v>
      </c>
      <c r="F42" s="742">
        <v>105.8</v>
      </c>
      <c r="G42" s="741">
        <v>105.8</v>
      </c>
      <c r="H42" s="742">
        <f t="shared" si="8"/>
        <v>235680.52896666666</v>
      </c>
      <c r="I42" s="44">
        <f t="shared" si="1"/>
        <v>-235574.72896666668</v>
      </c>
      <c r="J42" s="330">
        <f t="shared" si="2"/>
        <v>-0.99955108722615371</v>
      </c>
      <c r="K42" s="743">
        <f t="shared" si="9"/>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v>3500875.81</v>
      </c>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v>4200046.32</v>
      </c>
      <c r="D44" s="740"/>
      <c r="E44" s="741"/>
      <c r="F44" s="742">
        <v>610550.21</v>
      </c>
      <c r="G44" s="741">
        <v>3773633.24</v>
      </c>
      <c r="H44" s="742"/>
      <c r="I44" s="44">
        <f t="shared" si="1"/>
        <v>3773633.24</v>
      </c>
      <c r="J44" s="330" t="e">
        <f t="shared" si="2"/>
        <v>#DIV/0!</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3770506292.9300003</v>
      </c>
      <c r="D50" s="444">
        <f t="shared" ref="D50:K50" si="10">SUM(D51:D60)</f>
        <v>3376346372.7014918</v>
      </c>
      <c r="E50" s="441">
        <f t="shared" si="10"/>
        <v>3376346372.7014918</v>
      </c>
      <c r="F50" s="443">
        <f t="shared" si="10"/>
        <v>299379994.95999998</v>
      </c>
      <c r="G50" s="441">
        <f t="shared" si="10"/>
        <v>3708252485.4000006</v>
      </c>
      <c r="H50" s="443">
        <f t="shared" si="10"/>
        <v>3094984174.9763675</v>
      </c>
      <c r="I50" s="44">
        <f t="shared" si="1"/>
        <v>613268310.4236331</v>
      </c>
      <c r="J50" s="330">
        <f t="shared" si="2"/>
        <v>0.19814909406711775</v>
      </c>
      <c r="K50" s="442">
        <f t="shared" si="10"/>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v>2209984880.3800001</v>
      </c>
      <c r="D51" s="740">
        <v>1787507107.4868703</v>
      </c>
      <c r="E51" s="741">
        <v>1787507107.4868703</v>
      </c>
      <c r="F51" s="742">
        <v>180551431.43000001</v>
      </c>
      <c r="G51" s="741">
        <v>2148302404.7800002</v>
      </c>
      <c r="H51" s="742">
        <f t="shared" ref="H51:H54" si="11">E51/12*11</f>
        <v>1638548181.8629646</v>
      </c>
      <c r="I51" s="44">
        <f t="shared" si="1"/>
        <v>509754222.91703558</v>
      </c>
      <c r="J51" s="330">
        <f t="shared" si="2"/>
        <v>0.31110114951729106</v>
      </c>
      <c r="K51" s="743">
        <f t="shared" ref="K51:K54" si="12">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v>6272011.5300000003</v>
      </c>
      <c r="D52" s="740">
        <v>19637703.2643</v>
      </c>
      <c r="E52" s="741">
        <v>19637703.2643</v>
      </c>
      <c r="F52" s="742">
        <v>380474.35</v>
      </c>
      <c r="G52" s="741">
        <v>5735937.3300000001</v>
      </c>
      <c r="H52" s="742">
        <f t="shared" si="11"/>
        <v>18001227.992275</v>
      </c>
      <c r="I52" s="44">
        <f t="shared" si="1"/>
        <v>-12265290.662275</v>
      </c>
      <c r="J52" s="330">
        <f t="shared" si="2"/>
        <v>-0.68135855329083628</v>
      </c>
      <c r="K52" s="743">
        <f t="shared" si="12"/>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v>239604029.53</v>
      </c>
      <c r="D53" s="740">
        <v>65792799.755315199</v>
      </c>
      <c r="E53" s="741">
        <v>65792799.755315199</v>
      </c>
      <c r="F53" s="742">
        <v>15253618.789999999</v>
      </c>
      <c r="G53" s="741">
        <v>203853099.40000001</v>
      </c>
      <c r="H53" s="742">
        <f t="shared" si="11"/>
        <v>60310066.442372262</v>
      </c>
      <c r="I53" s="44">
        <f t="shared" si="1"/>
        <v>143543032.95762774</v>
      </c>
      <c r="J53" s="330">
        <f t="shared" si="2"/>
        <v>2.3800841455677486</v>
      </c>
      <c r="K53" s="743">
        <f t="shared" si="12"/>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v>1314645345.04</v>
      </c>
      <c r="D54" s="740">
        <v>1503408762.1950061</v>
      </c>
      <c r="E54" s="741">
        <v>1503408762.1950061</v>
      </c>
      <c r="F54" s="742">
        <v>103194470.39</v>
      </c>
      <c r="G54" s="741">
        <v>1350361043.8900001</v>
      </c>
      <c r="H54" s="742">
        <f t="shared" si="11"/>
        <v>1378124698.6787555</v>
      </c>
      <c r="I54" s="44">
        <f t="shared" si="1"/>
        <v>-27763654.788755417</v>
      </c>
      <c r="J54" s="330">
        <f t="shared" si="2"/>
        <v>-2.0145967063338436E-2</v>
      </c>
      <c r="K54" s="743">
        <f t="shared" si="12"/>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v>26.45</v>
      </c>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167753159.20999998</v>
      </c>
      <c r="D61" s="444">
        <f t="shared" ref="D61:K61" si="13">SUM(D62:D71)</f>
        <v>432870465.38774735</v>
      </c>
      <c r="E61" s="441">
        <f t="shared" si="13"/>
        <v>495093158.38774735</v>
      </c>
      <c r="F61" s="443">
        <f t="shared" si="13"/>
        <v>9100681.8599999994</v>
      </c>
      <c r="G61" s="441">
        <f t="shared" si="13"/>
        <v>125656883.97</v>
      </c>
      <c r="H61" s="443">
        <f t="shared" si="13"/>
        <v>453835395.18876845</v>
      </c>
      <c r="I61" s="44">
        <f t="shared" si="1"/>
        <v>-328178511.21876848</v>
      </c>
      <c r="J61" s="330">
        <f t="shared" si="2"/>
        <v>-0.72312233619915389</v>
      </c>
      <c r="K61" s="442">
        <f t="shared" si="13"/>
        <v>495093158.38774735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v>33291054.989999998</v>
      </c>
      <c r="D62" s="740"/>
      <c r="E62" s="741">
        <v>513935</v>
      </c>
      <c r="F62" s="742">
        <v>2276251.65</v>
      </c>
      <c r="G62" s="741">
        <v>34858034.479999997</v>
      </c>
      <c r="H62" s="742">
        <f t="shared" ref="H62:H65" si="14">E62/12*11</f>
        <v>471107.08333333331</v>
      </c>
      <c r="I62" s="44">
        <f t="shared" si="1"/>
        <v>34386927.396666661</v>
      </c>
      <c r="J62" s="330">
        <f t="shared" si="2"/>
        <v>72.991743519033619</v>
      </c>
      <c r="K62" s="743">
        <f t="shared" ref="K62:K65" si="15">E62</f>
        <v>513935</v>
      </c>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v>103539.45</v>
      </c>
      <c r="D63" s="740">
        <v>41022287.158399999</v>
      </c>
      <c r="E63" s="741">
        <v>45022287.158399999</v>
      </c>
      <c r="F63" s="742">
        <v>970349.68</v>
      </c>
      <c r="G63" s="741">
        <v>1677765.3</v>
      </c>
      <c r="H63" s="742">
        <f t="shared" si="14"/>
        <v>41270429.895199999</v>
      </c>
      <c r="I63" s="44">
        <f t="shared" si="1"/>
        <v>-39592664.595200002</v>
      </c>
      <c r="J63" s="330">
        <f t="shared" si="2"/>
        <v>-0.95934703601924121</v>
      </c>
      <c r="K63" s="743">
        <f t="shared" si="15"/>
        <v>45022287.158399999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v>100718852.83</v>
      </c>
      <c r="D64" s="740">
        <v>328237277.54334736</v>
      </c>
      <c r="E64" s="741">
        <v>386941932.54334736</v>
      </c>
      <c r="F64" s="742">
        <v>4678691.6500000004</v>
      </c>
      <c r="G64" s="741">
        <v>80258839.510000005</v>
      </c>
      <c r="H64" s="742">
        <f t="shared" si="14"/>
        <v>354696771.49806845</v>
      </c>
      <c r="I64" s="44">
        <f t="shared" si="1"/>
        <v>-274437931.98806846</v>
      </c>
      <c r="J64" s="330">
        <f t="shared" si="2"/>
        <v>-0.77372548622017256</v>
      </c>
      <c r="K64" s="743">
        <f t="shared" si="15"/>
        <v>386941932.54334736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v>33639711.939999998</v>
      </c>
      <c r="D65" s="740">
        <v>63610900.686000004</v>
      </c>
      <c r="E65" s="741">
        <v>62615003.686000004</v>
      </c>
      <c r="F65" s="742">
        <v>1175388.8799999999</v>
      </c>
      <c r="G65" s="741">
        <v>8862244.6799999997</v>
      </c>
      <c r="H65" s="742">
        <f t="shared" si="14"/>
        <v>57397086.712166667</v>
      </c>
      <c r="I65" s="44">
        <f t="shared" si="1"/>
        <v>-48534842.032166667</v>
      </c>
      <c r="J65" s="330">
        <f t="shared" si="2"/>
        <v>-0.84559765682111809</v>
      </c>
      <c r="K65" s="743">
        <f t="shared" si="15"/>
        <v>62615003.686000004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6">G70-H70</f>
        <v>0</v>
      </c>
      <c r="J70" s="330" t="str">
        <f t="shared" ref="J70:J133" si="17">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6"/>
        <v>0</v>
      </c>
      <c r="J71" s="330" t="str">
        <f t="shared" si="17"/>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8">SUM(C73:C82)</f>
        <v>0</v>
      </c>
      <c r="D72" s="444">
        <f t="shared" si="18"/>
        <v>0</v>
      </c>
      <c r="E72" s="441">
        <f t="shared" si="18"/>
        <v>0</v>
      </c>
      <c r="F72" s="443">
        <f t="shared" si="18"/>
        <v>0</v>
      </c>
      <c r="G72" s="441">
        <f t="shared" si="18"/>
        <v>0</v>
      </c>
      <c r="H72" s="443">
        <f t="shared" si="18"/>
        <v>0</v>
      </c>
      <c r="I72" s="44">
        <f t="shared" si="16"/>
        <v>0</v>
      </c>
      <c r="J72" s="330" t="str">
        <f t="shared" si="17"/>
        <v/>
      </c>
      <c r="K72" s="442">
        <f t="shared" si="18"/>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6"/>
        <v>0</v>
      </c>
      <c r="J73" s="330" t="str">
        <f t="shared" si="17"/>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6"/>
        <v>0</v>
      </c>
      <c r="J74" s="330" t="str">
        <f t="shared" si="17"/>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6"/>
        <v>0</v>
      </c>
      <c r="J75" s="330" t="str">
        <f t="shared" si="17"/>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6"/>
        <v>0</v>
      </c>
      <c r="J76" s="330" t="str">
        <f t="shared" si="17"/>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6"/>
        <v>0</v>
      </c>
      <c r="J77" s="330" t="str">
        <f t="shared" si="17"/>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6"/>
        <v>0</v>
      </c>
      <c r="J78" s="330" t="str">
        <f t="shared" si="17"/>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6"/>
        <v>0</v>
      </c>
      <c r="J79" s="330" t="str">
        <f t="shared" si="17"/>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6"/>
        <v>0</v>
      </c>
      <c r="J80" s="330" t="str">
        <f t="shared" si="17"/>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6"/>
        <v>0</v>
      </c>
      <c r="J81" s="330" t="str">
        <f t="shared" si="17"/>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6"/>
        <v>0</v>
      </c>
      <c r="J82" s="330" t="str">
        <f t="shared" si="17"/>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9">SUM(D84:D93)</f>
        <v>0</v>
      </c>
      <c r="E83" s="441">
        <f t="shared" si="19"/>
        <v>0</v>
      </c>
      <c r="F83" s="443">
        <f t="shared" si="19"/>
        <v>0</v>
      </c>
      <c r="G83" s="441">
        <f t="shared" si="19"/>
        <v>0</v>
      </c>
      <c r="H83" s="443">
        <f t="shared" si="19"/>
        <v>0</v>
      </c>
      <c r="I83" s="44">
        <f t="shared" si="16"/>
        <v>0</v>
      </c>
      <c r="J83" s="330" t="str">
        <f t="shared" si="17"/>
        <v/>
      </c>
      <c r="K83" s="442">
        <f t="shared" si="19"/>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6"/>
        <v>0</v>
      </c>
      <c r="J84" s="330" t="str">
        <f t="shared" si="17"/>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6"/>
        <v>0</v>
      </c>
      <c r="J85" s="330" t="str">
        <f t="shared" si="17"/>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6"/>
        <v>0</v>
      </c>
      <c r="J86" s="330" t="str">
        <f t="shared" si="17"/>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6"/>
        <v>0</v>
      </c>
      <c r="J87" s="330" t="str">
        <f t="shared" si="17"/>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6"/>
        <v>0</v>
      </c>
      <c r="J88" s="330" t="str">
        <f t="shared" si="17"/>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6"/>
        <v>0</v>
      </c>
      <c r="J89" s="330" t="str">
        <f t="shared" si="17"/>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6"/>
        <v>0</v>
      </c>
      <c r="J90" s="330" t="str">
        <f t="shared" si="17"/>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6"/>
        <v>0</v>
      </c>
      <c r="J91" s="330" t="str">
        <f t="shared" si="17"/>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6"/>
        <v>0</v>
      </c>
      <c r="J92" s="330" t="str">
        <f t="shared" si="17"/>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6"/>
        <v>0</v>
      </c>
      <c r="J93" s="330" t="str">
        <f t="shared" si="17"/>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20">SUM(D95:D104)</f>
        <v>0</v>
      </c>
      <c r="E94" s="441">
        <f t="shared" si="20"/>
        <v>0</v>
      </c>
      <c r="F94" s="443">
        <f t="shared" si="20"/>
        <v>0</v>
      </c>
      <c r="G94" s="441">
        <f t="shared" si="20"/>
        <v>0</v>
      </c>
      <c r="H94" s="443">
        <f t="shared" si="20"/>
        <v>0</v>
      </c>
      <c r="I94" s="44">
        <f t="shared" si="16"/>
        <v>0</v>
      </c>
      <c r="J94" s="330" t="str">
        <f t="shared" si="17"/>
        <v/>
      </c>
      <c r="K94" s="442">
        <f t="shared" si="20"/>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6"/>
        <v>0</v>
      </c>
      <c r="J95" s="330" t="str">
        <f t="shared" si="17"/>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6"/>
        <v>0</v>
      </c>
      <c r="J96" s="330" t="str">
        <f t="shared" si="17"/>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6"/>
        <v>0</v>
      </c>
      <c r="J97" s="330" t="str">
        <f t="shared" si="17"/>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6"/>
        <v>0</v>
      </c>
      <c r="J98" s="330" t="str">
        <f t="shared" si="17"/>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6"/>
        <v>0</v>
      </c>
      <c r="J99" s="330" t="str">
        <f t="shared" si="17"/>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6"/>
        <v>0</v>
      </c>
      <c r="J100" s="330" t="str">
        <f t="shared" si="17"/>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6"/>
        <v>0</v>
      </c>
      <c r="J101" s="330" t="str">
        <f t="shared" si="17"/>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6"/>
        <v>0</v>
      </c>
      <c r="J102" s="330" t="str">
        <f t="shared" si="17"/>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6"/>
        <v>0</v>
      </c>
      <c r="J103" s="330" t="str">
        <f t="shared" si="17"/>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6"/>
        <v>0</v>
      </c>
      <c r="J104" s="330" t="str">
        <f t="shared" si="17"/>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21">SUM(D106:D115)</f>
        <v>0</v>
      </c>
      <c r="E105" s="441">
        <f t="shared" si="21"/>
        <v>0</v>
      </c>
      <c r="F105" s="443">
        <f t="shared" si="21"/>
        <v>0</v>
      </c>
      <c r="G105" s="441">
        <f t="shared" si="21"/>
        <v>0</v>
      </c>
      <c r="H105" s="443">
        <f t="shared" si="21"/>
        <v>0</v>
      </c>
      <c r="I105" s="44">
        <f t="shared" si="16"/>
        <v>0</v>
      </c>
      <c r="J105" s="330" t="str">
        <f t="shared" si="17"/>
        <v/>
      </c>
      <c r="K105" s="442">
        <f t="shared" si="21"/>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6"/>
        <v>0</v>
      </c>
      <c r="J106" s="330" t="str">
        <f t="shared" si="17"/>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6"/>
        <v>0</v>
      </c>
      <c r="J107" s="330" t="str">
        <f t="shared" si="17"/>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6"/>
        <v>0</v>
      </c>
      <c r="J108" s="330" t="str">
        <f t="shared" si="17"/>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6"/>
        <v>0</v>
      </c>
      <c r="J109" s="330" t="str">
        <f t="shared" si="17"/>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6"/>
        <v>0</v>
      </c>
      <c r="J110" s="330" t="str">
        <f t="shared" si="17"/>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6"/>
        <v>0</v>
      </c>
      <c r="J111" s="330" t="str">
        <f t="shared" si="17"/>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6"/>
        <v>0</v>
      </c>
      <c r="J112" s="330" t="str">
        <f t="shared" si="17"/>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6"/>
        <v>0</v>
      </c>
      <c r="J113" s="330" t="str">
        <f t="shared" si="17"/>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6"/>
        <v>0</v>
      </c>
      <c r="J114" s="330" t="str">
        <f t="shared" si="17"/>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6"/>
        <v>0</v>
      </c>
      <c r="J115" s="330" t="str">
        <f t="shared" si="17"/>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22">SUM(D117:D126)</f>
        <v>0</v>
      </c>
      <c r="E116" s="441">
        <f t="shared" si="22"/>
        <v>0</v>
      </c>
      <c r="F116" s="443">
        <f t="shared" si="22"/>
        <v>0</v>
      </c>
      <c r="G116" s="441">
        <f t="shared" si="22"/>
        <v>0</v>
      </c>
      <c r="H116" s="443">
        <f t="shared" si="22"/>
        <v>0</v>
      </c>
      <c r="I116" s="44">
        <f t="shared" si="16"/>
        <v>0</v>
      </c>
      <c r="J116" s="330" t="str">
        <f t="shared" si="17"/>
        <v/>
      </c>
      <c r="K116" s="442">
        <f t="shared" si="22"/>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6"/>
        <v>0</v>
      </c>
      <c r="J117" s="330" t="str">
        <f t="shared" si="17"/>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6"/>
        <v>0</v>
      </c>
      <c r="J118" s="330" t="str">
        <f t="shared" si="17"/>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6"/>
        <v>0</v>
      </c>
      <c r="J119" s="330" t="str">
        <f t="shared" si="17"/>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6"/>
        <v>0</v>
      </c>
      <c r="J120" s="330" t="str">
        <f t="shared" si="17"/>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6"/>
        <v>0</v>
      </c>
      <c r="J121" s="330" t="str">
        <f t="shared" si="17"/>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6"/>
        <v>0</v>
      </c>
      <c r="J122" s="330" t="str">
        <f t="shared" si="17"/>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6"/>
        <v>0</v>
      </c>
      <c r="J123" s="330" t="str">
        <f t="shared" si="17"/>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6"/>
        <v>0</v>
      </c>
      <c r="J124" s="330" t="str">
        <f t="shared" si="17"/>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6"/>
        <v>0</v>
      </c>
      <c r="J125" s="330" t="str">
        <f t="shared" si="17"/>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6"/>
        <v>0</v>
      </c>
      <c r="J126" s="330" t="str">
        <f t="shared" si="17"/>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23">SUM(D128:D137)</f>
        <v>0</v>
      </c>
      <c r="E127" s="441">
        <f t="shared" si="23"/>
        <v>0</v>
      </c>
      <c r="F127" s="443">
        <f t="shared" si="23"/>
        <v>0</v>
      </c>
      <c r="G127" s="441">
        <f t="shared" si="23"/>
        <v>0</v>
      </c>
      <c r="H127" s="443">
        <f t="shared" si="23"/>
        <v>0</v>
      </c>
      <c r="I127" s="44">
        <f t="shared" si="16"/>
        <v>0</v>
      </c>
      <c r="J127" s="330" t="str">
        <f t="shared" si="17"/>
        <v/>
      </c>
      <c r="K127" s="442">
        <f t="shared" si="23"/>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6"/>
        <v>0</v>
      </c>
      <c r="J128" s="330" t="str">
        <f t="shared" si="17"/>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6"/>
        <v>0</v>
      </c>
      <c r="J129" s="330" t="str">
        <f t="shared" si="17"/>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6"/>
        <v>0</v>
      </c>
      <c r="J130" s="330" t="str">
        <f t="shared" si="17"/>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6"/>
        <v>0</v>
      </c>
      <c r="J131" s="330" t="str">
        <f t="shared" si="17"/>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6"/>
        <v>0</v>
      </c>
      <c r="J132" s="330" t="str">
        <f t="shared" si="17"/>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6"/>
        <v>0</v>
      </c>
      <c r="J133" s="330" t="str">
        <f t="shared" si="17"/>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4">G134-H134</f>
        <v>0</v>
      </c>
      <c r="J134" s="330" t="str">
        <f t="shared" ref="J134:J197" si="25">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4"/>
        <v>0</v>
      </c>
      <c r="J135" s="330" t="str">
        <f t="shared" si="25"/>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4"/>
        <v>0</v>
      </c>
      <c r="J136" s="330" t="str">
        <f t="shared" si="25"/>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4"/>
        <v>0</v>
      </c>
      <c r="J137" s="330" t="str">
        <f t="shared" si="25"/>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6">SUM(D139:D148)</f>
        <v>0</v>
      </c>
      <c r="E138" s="441">
        <f t="shared" si="26"/>
        <v>0</v>
      </c>
      <c r="F138" s="443">
        <f t="shared" si="26"/>
        <v>0</v>
      </c>
      <c r="G138" s="441">
        <f t="shared" si="26"/>
        <v>0</v>
      </c>
      <c r="H138" s="443">
        <f t="shared" si="26"/>
        <v>0</v>
      </c>
      <c r="I138" s="44">
        <f t="shared" si="24"/>
        <v>0</v>
      </c>
      <c r="J138" s="330" t="str">
        <f t="shared" si="25"/>
        <v/>
      </c>
      <c r="K138" s="442">
        <f t="shared" si="26"/>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4"/>
        <v>0</v>
      </c>
      <c r="J139" s="330" t="str">
        <f t="shared" si="25"/>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4"/>
        <v>0</v>
      </c>
      <c r="J140" s="330" t="str">
        <f t="shared" si="25"/>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4"/>
        <v>0</v>
      </c>
      <c r="J141" s="330" t="str">
        <f t="shared" si="25"/>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4"/>
        <v>0</v>
      </c>
      <c r="J142" s="330" t="str">
        <f t="shared" si="25"/>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4"/>
        <v>0</v>
      </c>
      <c r="J143" s="330" t="str">
        <f t="shared" si="25"/>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4"/>
        <v>0</v>
      </c>
      <c r="J144" s="330" t="str">
        <f t="shared" si="25"/>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4"/>
        <v>0</v>
      </c>
      <c r="J145" s="330" t="str">
        <f t="shared" si="25"/>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4"/>
        <v>0</v>
      </c>
      <c r="J146" s="330" t="str">
        <f t="shared" si="25"/>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4"/>
        <v>0</v>
      </c>
      <c r="J147" s="330" t="str">
        <f t="shared" si="25"/>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4"/>
        <v>0</v>
      </c>
      <c r="J148" s="330" t="str">
        <f t="shared" si="25"/>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7">SUM(D150:D159)</f>
        <v>0</v>
      </c>
      <c r="E149" s="441">
        <f t="shared" si="27"/>
        <v>0</v>
      </c>
      <c r="F149" s="443">
        <f t="shared" si="27"/>
        <v>0</v>
      </c>
      <c r="G149" s="441">
        <f t="shared" si="27"/>
        <v>0</v>
      </c>
      <c r="H149" s="443">
        <f t="shared" si="27"/>
        <v>0</v>
      </c>
      <c r="I149" s="44">
        <f t="shared" si="24"/>
        <v>0</v>
      </c>
      <c r="J149" s="330" t="str">
        <f t="shared" si="25"/>
        <v/>
      </c>
      <c r="K149" s="442">
        <f t="shared" si="27"/>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4"/>
        <v>0</v>
      </c>
      <c r="J150" s="330" t="str">
        <f t="shared" si="25"/>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4"/>
        <v>0</v>
      </c>
      <c r="J151" s="330" t="str">
        <f t="shared" si="25"/>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4"/>
        <v>0</v>
      </c>
      <c r="J152" s="330" t="str">
        <f t="shared" si="25"/>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4"/>
        <v>0</v>
      </c>
      <c r="J153" s="330" t="str">
        <f t="shared" si="25"/>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4"/>
        <v>0</v>
      </c>
      <c r="J154" s="330" t="str">
        <f t="shared" si="25"/>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4"/>
        <v>0</v>
      </c>
      <c r="J155" s="330" t="str">
        <f t="shared" si="25"/>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4"/>
        <v>0</v>
      </c>
      <c r="J156" s="330" t="str">
        <f t="shared" si="25"/>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4"/>
        <v>0</v>
      </c>
      <c r="J157" s="330" t="str">
        <f t="shared" si="25"/>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4"/>
        <v>0</v>
      </c>
      <c r="J158" s="330" t="str">
        <f t="shared" si="25"/>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4"/>
        <v>0</v>
      </c>
      <c r="J159" s="330" t="str">
        <f t="shared" si="25"/>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8">SUM(D161:D170)</f>
        <v>0</v>
      </c>
      <c r="E160" s="441">
        <f t="shared" si="28"/>
        <v>0</v>
      </c>
      <c r="F160" s="443">
        <f t="shared" si="28"/>
        <v>0</v>
      </c>
      <c r="G160" s="441">
        <f t="shared" si="28"/>
        <v>0</v>
      </c>
      <c r="H160" s="443">
        <f t="shared" si="28"/>
        <v>0</v>
      </c>
      <c r="I160" s="44">
        <f t="shared" si="24"/>
        <v>0</v>
      </c>
      <c r="J160" s="330" t="str">
        <f t="shared" si="25"/>
        <v/>
      </c>
      <c r="K160" s="442">
        <f t="shared" si="28"/>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4"/>
        <v>0</v>
      </c>
      <c r="J161" s="330" t="str">
        <f t="shared" si="25"/>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4"/>
        <v>0</v>
      </c>
      <c r="J162" s="330" t="str">
        <f t="shared" si="25"/>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4"/>
        <v>0</v>
      </c>
      <c r="J163" s="330" t="str">
        <f t="shared" si="25"/>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4"/>
        <v>0</v>
      </c>
      <c r="J164" s="330" t="str">
        <f t="shared" si="25"/>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4"/>
        <v>0</v>
      </c>
      <c r="J165" s="330" t="str">
        <f t="shared" si="25"/>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4"/>
        <v>0</v>
      </c>
      <c r="J166" s="330" t="str">
        <f t="shared" si="25"/>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4"/>
        <v>0</v>
      </c>
      <c r="J167" s="330" t="str">
        <f t="shared" si="25"/>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4"/>
        <v>0</v>
      </c>
      <c r="J168" s="330" t="str">
        <f t="shared" si="25"/>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4"/>
        <v>0</v>
      </c>
      <c r="J169" s="330" t="str">
        <f t="shared" si="25"/>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4"/>
        <v>0</v>
      </c>
      <c r="J170" s="330" t="str">
        <f t="shared" si="25"/>
        <v/>
      </c>
      <c r="K170" s="743"/>
      <c r="L170" s="452">
        <f t="shared" ref="L170:W170" si="29">SUM(L78:L81)</f>
        <v>0</v>
      </c>
      <c r="M170" s="453">
        <f t="shared" si="29"/>
        <v>0</v>
      </c>
      <c r="N170" s="453">
        <f t="shared" si="29"/>
        <v>0</v>
      </c>
      <c r="O170" s="453">
        <f t="shared" si="29"/>
        <v>0</v>
      </c>
      <c r="P170" s="453">
        <f t="shared" si="29"/>
        <v>0</v>
      </c>
      <c r="Q170" s="453">
        <f t="shared" si="29"/>
        <v>0</v>
      </c>
      <c r="R170" s="453">
        <f t="shared" si="29"/>
        <v>0</v>
      </c>
      <c r="S170" s="453">
        <f t="shared" si="29"/>
        <v>0</v>
      </c>
      <c r="T170" s="453">
        <f t="shared" si="29"/>
        <v>0</v>
      </c>
      <c r="U170" s="453">
        <f t="shared" si="29"/>
        <v>0</v>
      </c>
      <c r="V170" s="453">
        <f t="shared" si="29"/>
        <v>0</v>
      </c>
      <c r="W170" s="453">
        <f t="shared" si="29"/>
        <v>0</v>
      </c>
    </row>
    <row r="171" spans="1:23" ht="12.75" customHeight="1" x14ac:dyDescent="0.25">
      <c r="A171" s="447" t="s">
        <v>635</v>
      </c>
      <c r="B171" s="415">
        <v>2</v>
      </c>
      <c r="C171" s="504">
        <f>C6+C17+C28+C39+C50+C61+C72+C83+C94+C105+C116+C127+C138+C149+C160</f>
        <v>5790043950</v>
      </c>
      <c r="D171" s="451">
        <f t="shared" ref="D171:K171" si="30">D6+D17+D28+D39+D50+D61+D72+D83+D94+D105+D116+D127+D138+D149+D160</f>
        <v>6443701838.8720646</v>
      </c>
      <c r="E171" s="448">
        <f t="shared" si="30"/>
        <v>6594922531.8720646</v>
      </c>
      <c r="F171" s="450">
        <f t="shared" si="30"/>
        <v>429424074</v>
      </c>
      <c r="G171" s="448">
        <f t="shared" si="30"/>
        <v>5588360231.0600004</v>
      </c>
      <c r="H171" s="450">
        <f t="shared" si="30"/>
        <v>6045345654.2160587</v>
      </c>
      <c r="I171" s="514">
        <f t="shared" si="24"/>
        <v>-456985423.15605831</v>
      </c>
      <c r="J171" s="515">
        <f t="shared" si="25"/>
        <v>-7.5592935341481107E-2</v>
      </c>
      <c r="K171" s="449">
        <f t="shared" si="30"/>
        <v>6594922531.8720646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4"/>
        <v>0</v>
      </c>
      <c r="J172" s="133" t="str">
        <f t="shared" si="25"/>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4"/>
        <v>0</v>
      </c>
      <c r="J173" s="330" t="str">
        <f t="shared" si="25"/>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31">SUM(C175:C184)</f>
        <v>156640668.94000003</v>
      </c>
      <c r="D174" s="471">
        <f t="shared" si="31"/>
        <v>181805355.87582266</v>
      </c>
      <c r="E174" s="468">
        <f t="shared" si="31"/>
        <v>187429782.20182845</v>
      </c>
      <c r="F174" s="470">
        <f t="shared" si="31"/>
        <v>12520309.010000002</v>
      </c>
      <c r="G174" s="468">
        <f t="shared" si="31"/>
        <v>128547102.08999999</v>
      </c>
      <c r="H174" s="470">
        <f t="shared" si="31"/>
        <v>171810633.68500942</v>
      </c>
      <c r="I174" s="44">
        <f t="shared" si="24"/>
        <v>-43263531.595009431</v>
      </c>
      <c r="J174" s="330">
        <f t="shared" si="25"/>
        <v>-0.25180939425627763</v>
      </c>
      <c r="K174" s="469">
        <f t="shared" si="31"/>
        <v>187429782.20182845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v>18637938.279999994</v>
      </c>
      <c r="D175" s="745">
        <v>19757657.663691994</v>
      </c>
      <c r="E175" s="733">
        <v>20027657.663691994</v>
      </c>
      <c r="F175" s="746">
        <v>1947589.8499999996</v>
      </c>
      <c r="G175" s="733">
        <v>14900913.219999993</v>
      </c>
      <c r="H175" s="746">
        <f t="shared" ref="H175:H178" si="32">E175/12*11</f>
        <v>18358686.191717662</v>
      </c>
      <c r="I175" s="44">
        <f t="shared" si="24"/>
        <v>-3457772.9717176687</v>
      </c>
      <c r="J175" s="330">
        <f t="shared" si="25"/>
        <v>-0.18834533885532662</v>
      </c>
      <c r="K175" s="747">
        <f t="shared" ref="K175:K178" si="33">E175</f>
        <v>20027657.663691994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v>55644220.539999992</v>
      </c>
      <c r="D176" s="745">
        <v>42326752.982156038</v>
      </c>
      <c r="E176" s="733">
        <v>44836077.308161847</v>
      </c>
      <c r="F176" s="746">
        <v>3044324.83</v>
      </c>
      <c r="G176" s="733">
        <v>34588521.5</v>
      </c>
      <c r="H176" s="746">
        <f t="shared" si="32"/>
        <v>41099737.532481693</v>
      </c>
      <c r="I176" s="44">
        <f t="shared" si="24"/>
        <v>-6511216.0324816927</v>
      </c>
      <c r="J176" s="330">
        <f t="shared" si="25"/>
        <v>-0.15842475946070916</v>
      </c>
      <c r="K176" s="747">
        <f t="shared" si="33"/>
        <v>44836077.308161847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v>76857803.39000003</v>
      </c>
      <c r="D177" s="745">
        <v>106872334.4376146</v>
      </c>
      <c r="E177" s="733">
        <v>109635554.4376146</v>
      </c>
      <c r="F177" s="746">
        <v>6725860.8500000015</v>
      </c>
      <c r="G177" s="733">
        <v>72755440.760000005</v>
      </c>
      <c r="H177" s="746">
        <f t="shared" si="32"/>
        <v>100499258.23448005</v>
      </c>
      <c r="I177" s="44">
        <f t="shared" si="24"/>
        <v>-27743817.474480048</v>
      </c>
      <c r="J177" s="330">
        <f t="shared" si="25"/>
        <v>-0.27605992284788317</v>
      </c>
      <c r="K177" s="747">
        <f t="shared" si="33"/>
        <v>109635554.4376146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v>5500706.7299999995</v>
      </c>
      <c r="D178" s="745">
        <v>12848610.792359998</v>
      </c>
      <c r="E178" s="733">
        <v>12930492.792359998</v>
      </c>
      <c r="F178" s="746">
        <v>802533.47999999986</v>
      </c>
      <c r="G178" s="733">
        <v>6302226.6100000003</v>
      </c>
      <c r="H178" s="746">
        <f t="shared" si="32"/>
        <v>11852951.726329999</v>
      </c>
      <c r="I178" s="44">
        <f t="shared" si="24"/>
        <v>-5550725.1163299987</v>
      </c>
      <c r="J178" s="330">
        <f t="shared" si="25"/>
        <v>-0.46829897265165499</v>
      </c>
      <c r="K178" s="747">
        <f t="shared" si="33"/>
        <v>12930492.792359998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4"/>
        <v>0</v>
      </c>
      <c r="J179" s="330" t="str">
        <f t="shared" si="25"/>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4"/>
        <v>0</v>
      </c>
      <c r="J180" s="330" t="str">
        <f t="shared" si="25"/>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4"/>
        <v>0</v>
      </c>
      <c r="J181" s="330" t="str">
        <f t="shared" si="25"/>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4"/>
        <v>0</v>
      </c>
      <c r="J182" s="330" t="str">
        <f t="shared" si="25"/>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4"/>
        <v>0</v>
      </c>
      <c r="J183" s="330" t="str">
        <f t="shared" si="25"/>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4"/>
        <v>0</v>
      </c>
      <c r="J184" s="330" t="str">
        <f t="shared" si="25"/>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489444288.83000004</v>
      </c>
      <c r="D185" s="444">
        <f>SUM(D186:D195)</f>
        <v>700877661.2400291</v>
      </c>
      <c r="E185" s="441">
        <f t="shared" ref="E185:K185" si="34">SUM(E186:E195)</f>
        <v>705258982.70556009</v>
      </c>
      <c r="F185" s="443">
        <f t="shared" si="34"/>
        <v>60171548.590000004</v>
      </c>
      <c r="G185" s="441">
        <f t="shared" si="34"/>
        <v>411053236.89000005</v>
      </c>
      <c r="H185" s="443">
        <f t="shared" si="34"/>
        <v>646487400.81343019</v>
      </c>
      <c r="I185" s="44">
        <f t="shared" si="24"/>
        <v>-235434163.92343014</v>
      </c>
      <c r="J185" s="330">
        <f t="shared" si="25"/>
        <v>-0.36417440405984663</v>
      </c>
      <c r="K185" s="442">
        <f t="shared" si="34"/>
        <v>705258982.70556009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v>74868789.679999962</v>
      </c>
      <c r="D186" s="745">
        <v>94584991.874728531</v>
      </c>
      <c r="E186" s="733">
        <v>96104991.874728531</v>
      </c>
      <c r="F186" s="746">
        <v>4823981.0599999987</v>
      </c>
      <c r="G186" s="733">
        <v>61014952.049999982</v>
      </c>
      <c r="H186" s="746">
        <f t="shared" ref="H186:H190" si="35">E186/12*11</f>
        <v>88096242.551834494</v>
      </c>
      <c r="I186" s="44">
        <f t="shared" si="24"/>
        <v>-27081290.501834512</v>
      </c>
      <c r="J186" s="330">
        <f t="shared" si="25"/>
        <v>-0.30740573851263053</v>
      </c>
      <c r="K186" s="747">
        <f t="shared" ref="K186:K190" si="36">E186</f>
        <v>96104991.874728531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v>27419381.869999975</v>
      </c>
      <c r="D187" s="745">
        <v>34270508.087497681</v>
      </c>
      <c r="E187" s="733">
        <v>41666637.790604897</v>
      </c>
      <c r="F187" s="746">
        <v>8443496.9700000025</v>
      </c>
      <c r="G187" s="733">
        <v>80881231.390000001</v>
      </c>
      <c r="H187" s="746">
        <f t="shared" si="35"/>
        <v>38194417.974721156</v>
      </c>
      <c r="I187" s="44">
        <f t="shared" si="24"/>
        <v>42686813.415278845</v>
      </c>
      <c r="J187" s="330">
        <f t="shared" si="25"/>
        <v>1.1176191621385869</v>
      </c>
      <c r="K187" s="747">
        <f t="shared" si="36"/>
        <v>41666637.790604897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v>63846097.970000014</v>
      </c>
      <c r="D188" s="745">
        <v>484978367.60950798</v>
      </c>
      <c r="E188" s="733">
        <v>457625622.91509426</v>
      </c>
      <c r="F188" s="746">
        <v>5435129.3000000017</v>
      </c>
      <c r="G188" s="733">
        <v>35292981.489999995</v>
      </c>
      <c r="H188" s="746">
        <f t="shared" si="35"/>
        <v>419490154.33883643</v>
      </c>
      <c r="I188" s="44">
        <f t="shared" si="24"/>
        <v>-384197172.84883642</v>
      </c>
      <c r="J188" s="330">
        <f t="shared" si="25"/>
        <v>-0.91586696105984722</v>
      </c>
      <c r="K188" s="747">
        <f t="shared" si="36"/>
        <v>457625622.91509426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v>260128714.92000005</v>
      </c>
      <c r="D189" s="745">
        <v>22239285.456538409</v>
      </c>
      <c r="E189" s="733">
        <v>23740330.456538409</v>
      </c>
      <c r="F189" s="746">
        <v>35509414.620000005</v>
      </c>
      <c r="G189" s="733">
        <v>182966251.98000002</v>
      </c>
      <c r="H189" s="746">
        <f t="shared" si="35"/>
        <v>21761969.585160211</v>
      </c>
      <c r="I189" s="44">
        <f t="shared" si="24"/>
        <v>161204282.39483982</v>
      </c>
      <c r="J189" s="330">
        <f t="shared" si="25"/>
        <v>7.4076145435276803</v>
      </c>
      <c r="K189" s="747">
        <f t="shared" si="36"/>
        <v>23740330.456538409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v>63181304.390000015</v>
      </c>
      <c r="D190" s="745">
        <v>64804508.211756505</v>
      </c>
      <c r="E190" s="733">
        <v>86121399.668594033</v>
      </c>
      <c r="F190" s="746">
        <v>5959526.6400000006</v>
      </c>
      <c r="G190" s="733">
        <v>50897819.980000004</v>
      </c>
      <c r="H190" s="746">
        <f t="shared" si="35"/>
        <v>78944616.362877861</v>
      </c>
      <c r="I190" s="44">
        <f t="shared" si="24"/>
        <v>-28046796.382877856</v>
      </c>
      <c r="J190" s="330">
        <f t="shared" si="25"/>
        <v>-0.35527180541302</v>
      </c>
      <c r="K190" s="747">
        <f t="shared" si="36"/>
        <v>86121399.668594033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4"/>
        <v>0</v>
      </c>
      <c r="J191" s="330" t="str">
        <f t="shared" si="25"/>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4"/>
        <v>0</v>
      </c>
      <c r="J192" s="330" t="str">
        <f t="shared" si="25"/>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4"/>
        <v>0</v>
      </c>
      <c r="J193" s="330" t="str">
        <f t="shared" si="25"/>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4"/>
        <v>0</v>
      </c>
      <c r="J194" s="330" t="str">
        <f t="shared" si="25"/>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4"/>
        <v>0</v>
      </c>
      <c r="J195" s="330" t="str">
        <f t="shared" si="25"/>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7">SUM(C197:C206)</f>
        <v>734370884.89999974</v>
      </c>
      <c r="D196" s="444">
        <f t="shared" si="37"/>
        <v>743751614.16259539</v>
      </c>
      <c r="E196" s="441">
        <f t="shared" si="37"/>
        <v>769029279.16259539</v>
      </c>
      <c r="F196" s="443">
        <f t="shared" si="37"/>
        <v>66891475.539999999</v>
      </c>
      <c r="G196" s="441">
        <f t="shared" si="37"/>
        <v>742612114.71999979</v>
      </c>
      <c r="H196" s="443">
        <f t="shared" si="37"/>
        <v>704943505.89904571</v>
      </c>
      <c r="I196" s="44">
        <f t="shared" si="24"/>
        <v>37668608.820954084</v>
      </c>
      <c r="J196" s="330">
        <f t="shared" si="25"/>
        <v>5.3434932736792347E-2</v>
      </c>
      <c r="K196" s="442">
        <f t="shared" si="37"/>
        <v>769029279.16259539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v>32379250.299999986</v>
      </c>
      <c r="D197" s="745"/>
      <c r="E197" s="733"/>
      <c r="F197" s="746">
        <v>2958559.3100000005</v>
      </c>
      <c r="G197" s="733">
        <v>33461880.800000001</v>
      </c>
      <c r="H197" s="746"/>
      <c r="I197" s="44">
        <f t="shared" si="24"/>
        <v>33461880.800000001</v>
      </c>
      <c r="J197" s="330" t="e">
        <f t="shared" si="25"/>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v>336647862.6099999</v>
      </c>
      <c r="D198" s="745">
        <v>743751614.16259539</v>
      </c>
      <c r="E198" s="733">
        <v>768791614.16259539</v>
      </c>
      <c r="F198" s="746">
        <v>27587010.049999997</v>
      </c>
      <c r="G198" s="733">
        <v>321163090.8499999</v>
      </c>
      <c r="H198" s="746">
        <f t="shared" ref="H198:H200" si="38">E198/12*11</f>
        <v>704725646.31571245</v>
      </c>
      <c r="I198" s="44">
        <f>G198-H198</f>
        <v>-383562555.46571255</v>
      </c>
      <c r="J198" s="330">
        <f t="shared" ref="J198:J261" si="39">IF(I198=0,"",I198/H198)</f>
        <v>-0.54427216814226598</v>
      </c>
      <c r="K198" s="747">
        <f>E198</f>
        <v>768791614.16259539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v>237534789.84999979</v>
      </c>
      <c r="D199" s="745"/>
      <c r="E199" s="733">
        <v>3737665</v>
      </c>
      <c r="F199" s="746">
        <v>23873626.399999999</v>
      </c>
      <c r="G199" s="733">
        <v>276043448.48999989</v>
      </c>
      <c r="H199" s="746">
        <f t="shared" si="38"/>
        <v>3426192.9166666665</v>
      </c>
      <c r="I199" s="44">
        <f t="shared" ref="I199:I261" si="40">G199-H199</f>
        <v>272617255.5733332</v>
      </c>
      <c r="J199" s="330">
        <f t="shared" si="39"/>
        <v>79.568565519819529</v>
      </c>
      <c r="K199" s="747">
        <f t="shared" ref="K199:K200" si="41">E199</f>
        <v>3737665</v>
      </c>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v>127808982.13999997</v>
      </c>
      <c r="D200" s="745"/>
      <c r="E200" s="733">
        <v>-3500000</v>
      </c>
      <c r="F200" s="746">
        <v>12472279.780000001</v>
      </c>
      <c r="G200" s="733">
        <v>111943694.57999998</v>
      </c>
      <c r="H200" s="746">
        <f t="shared" si="38"/>
        <v>-3208333.3333333335</v>
      </c>
      <c r="I200" s="44">
        <f t="shared" si="40"/>
        <v>115152027.91333331</v>
      </c>
      <c r="J200" s="330">
        <f t="shared" si="39"/>
        <v>-35.891541167792198</v>
      </c>
      <c r="K200" s="747">
        <f t="shared" si="41"/>
        <v>-3500000</v>
      </c>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40"/>
        <v>0</v>
      </c>
      <c r="J201" s="330" t="str">
        <f t="shared" si="39"/>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40"/>
        <v>0</v>
      </c>
      <c r="J202" s="330" t="str">
        <f t="shared" si="39"/>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40"/>
        <v>0</v>
      </c>
      <c r="J203" s="330" t="str">
        <f t="shared" si="39"/>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40"/>
        <v>0</v>
      </c>
      <c r="J204" s="330" t="str">
        <f t="shared" si="39"/>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40"/>
        <v>0</v>
      </c>
      <c r="J205" s="330" t="str">
        <f t="shared" si="39"/>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40"/>
        <v>0</v>
      </c>
      <c r="J206" s="330" t="str">
        <f t="shared" si="39"/>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42">SUM(C208:C217)</f>
        <v>155921670.60000002</v>
      </c>
      <c r="D207" s="444">
        <f t="shared" si="42"/>
        <v>200548950.39124021</v>
      </c>
      <c r="E207" s="441">
        <f t="shared" si="42"/>
        <v>215358953.39108872</v>
      </c>
      <c r="F207" s="443">
        <f t="shared" si="42"/>
        <v>15562962.289999997</v>
      </c>
      <c r="G207" s="441">
        <f t="shared" si="42"/>
        <v>135687445.82000002</v>
      </c>
      <c r="H207" s="443">
        <f t="shared" si="42"/>
        <v>197412373.94183132</v>
      </c>
      <c r="I207" s="44">
        <f t="shared" si="40"/>
        <v>-61724928.121831298</v>
      </c>
      <c r="J207" s="330">
        <f t="shared" si="39"/>
        <v>-0.31267000588331356</v>
      </c>
      <c r="K207" s="442">
        <f t="shared" si="42"/>
        <v>215358953.39108872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v>74348104.300000012</v>
      </c>
      <c r="D208" s="383">
        <v>37102233.058023594</v>
      </c>
      <c r="E208" s="384">
        <v>46529040.057872109</v>
      </c>
      <c r="F208" s="472">
        <v>3947020.7199999988</v>
      </c>
      <c r="G208" s="384">
        <v>63549404.380000003</v>
      </c>
      <c r="H208" s="472">
        <f t="shared" ref="H208:H212" si="43">E208/12*11</f>
        <v>42651620.05304943</v>
      </c>
      <c r="I208" s="44">
        <f t="shared" si="40"/>
        <v>20897784.326950572</v>
      </c>
      <c r="J208" s="330">
        <f t="shared" si="39"/>
        <v>0.48996460863522251</v>
      </c>
      <c r="K208" s="395">
        <f t="shared" ref="K208:K212" si="44">E208</f>
        <v>46529040.057872109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v>32974505.649999999</v>
      </c>
      <c r="D209" s="383">
        <v>4306177.4291027384</v>
      </c>
      <c r="E209" s="384">
        <v>10907655.429102737</v>
      </c>
      <c r="F209" s="472">
        <v>7662772.5099999988</v>
      </c>
      <c r="G209" s="384">
        <v>32349770.259999994</v>
      </c>
      <c r="H209" s="472">
        <f t="shared" si="43"/>
        <v>9998684.1433441751</v>
      </c>
      <c r="I209" s="44">
        <f t="shared" si="40"/>
        <v>22351086.116655819</v>
      </c>
      <c r="J209" s="330">
        <f t="shared" si="39"/>
        <v>2.2354027586254204</v>
      </c>
      <c r="K209" s="395">
        <f t="shared" si="44"/>
        <v>10907655.429102737</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v>14770253.189999998</v>
      </c>
      <c r="D210" s="383">
        <v>117626955.29173322</v>
      </c>
      <c r="E210" s="384">
        <v>117098160.29173322</v>
      </c>
      <c r="F210" s="472">
        <v>1581893.7799999998</v>
      </c>
      <c r="G210" s="384">
        <v>11726998.260000004</v>
      </c>
      <c r="H210" s="472">
        <f t="shared" si="43"/>
        <v>107339980.26742211</v>
      </c>
      <c r="I210" s="44">
        <f t="shared" si="40"/>
        <v>-95612982.007422104</v>
      </c>
      <c r="J210" s="330">
        <f t="shared" si="39"/>
        <v>-0.890749017926183</v>
      </c>
      <c r="K210" s="395">
        <f t="shared" si="44"/>
        <v>117098160.29173322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v>24768759.659999996</v>
      </c>
      <c r="D211" s="383">
        <v>30502399.44295308</v>
      </c>
      <c r="E211" s="384">
        <v>29996912.44295308</v>
      </c>
      <c r="F211" s="472">
        <v>1493565.64</v>
      </c>
      <c r="G211" s="384">
        <v>21501630.120000001</v>
      </c>
      <c r="H211" s="472">
        <f t="shared" si="43"/>
        <v>27497169.739373658</v>
      </c>
      <c r="I211" s="44">
        <f t="shared" si="40"/>
        <v>-5995539.6193736568</v>
      </c>
      <c r="J211" s="330">
        <f t="shared" si="39"/>
        <v>-0.2180420630996267</v>
      </c>
      <c r="K211" s="395">
        <f t="shared" si="44"/>
        <v>29996912.44295308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v>9060047.8000000026</v>
      </c>
      <c r="D212" s="383">
        <v>11011185.169427564</v>
      </c>
      <c r="E212" s="384">
        <v>10827185.169427564</v>
      </c>
      <c r="F212" s="472">
        <v>877709.64</v>
      </c>
      <c r="G212" s="384">
        <v>6559642.7999999998</v>
      </c>
      <c r="H212" s="472">
        <f t="shared" si="43"/>
        <v>9924919.7386419345</v>
      </c>
      <c r="I212" s="44">
        <f t="shared" si="40"/>
        <v>-3365276.9386419347</v>
      </c>
      <c r="J212" s="330">
        <f t="shared" si="39"/>
        <v>-0.3390734663112166</v>
      </c>
      <c r="K212" s="395">
        <f t="shared" si="44"/>
        <v>10827185.169427564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40"/>
        <v>0</v>
      </c>
      <c r="J213" s="330" t="str">
        <f t="shared" si="39"/>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40"/>
        <v>0</v>
      </c>
      <c r="J214" s="330" t="str">
        <f t="shared" si="39"/>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40"/>
        <v>0</v>
      </c>
      <c r="J215" s="330" t="str">
        <f t="shared" si="39"/>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40"/>
        <v>0</v>
      </c>
      <c r="J216" s="330" t="str">
        <f t="shared" si="39"/>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40"/>
        <v>0</v>
      </c>
      <c r="J217" s="330" t="str">
        <f t="shared" si="39"/>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45">SUM(C219:C228)</f>
        <v>3776349725.2899971</v>
      </c>
      <c r="D218" s="444">
        <f t="shared" si="45"/>
        <v>3393288719.277081</v>
      </c>
      <c r="E218" s="441">
        <f t="shared" si="45"/>
        <v>3407283654.0811782</v>
      </c>
      <c r="F218" s="443">
        <f t="shared" si="45"/>
        <v>218105718.88999999</v>
      </c>
      <c r="G218" s="441">
        <f t="shared" si="45"/>
        <v>3189407509.710001</v>
      </c>
      <c r="H218" s="443">
        <f t="shared" si="45"/>
        <v>3123343349.5744133</v>
      </c>
      <c r="I218" s="44">
        <f t="shared" si="40"/>
        <v>66064160.135587692</v>
      </c>
      <c r="J218" s="330">
        <f t="shared" si="39"/>
        <v>2.1151744378212402E-2</v>
      </c>
      <c r="K218" s="442">
        <f t="shared" si="45"/>
        <v>3407283654.0811782</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v>2085365057.7099984</v>
      </c>
      <c r="D219" s="383">
        <v>1955147194.4755206</v>
      </c>
      <c r="E219" s="384">
        <v>1869342699.4755206</v>
      </c>
      <c r="F219" s="472">
        <v>91924390.079999998</v>
      </c>
      <c r="G219" s="384">
        <v>1906789148.9500012</v>
      </c>
      <c r="H219" s="472">
        <f t="shared" ref="H219:H223" si="46">E219/12*11</f>
        <v>1713564141.185894</v>
      </c>
      <c r="I219" s="44">
        <f t="shared" si="40"/>
        <v>193225007.76410723</v>
      </c>
      <c r="J219" s="330">
        <f t="shared" si="39"/>
        <v>0.11276205139912848</v>
      </c>
      <c r="K219" s="395">
        <f t="shared" ref="K219:K223" si="47">E219</f>
        <v>1869342699.4755206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v>12573127.24</v>
      </c>
      <c r="D220" s="383">
        <v>56522646.802353732</v>
      </c>
      <c r="E220" s="384">
        <v>56522646.802353732</v>
      </c>
      <c r="F220" s="472">
        <v>755288.18</v>
      </c>
      <c r="G220" s="384">
        <v>12468428.26</v>
      </c>
      <c r="H220" s="472">
        <f t="shared" si="46"/>
        <v>51812426.235490926</v>
      </c>
      <c r="I220" s="44">
        <f t="shared" si="40"/>
        <v>-39343997.975490928</v>
      </c>
      <c r="J220" s="330">
        <f t="shared" si="39"/>
        <v>-0.75935447988229388</v>
      </c>
      <c r="K220" s="395">
        <f t="shared" si="47"/>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v>246514483.81000003</v>
      </c>
      <c r="D221" s="383">
        <v>94562737.919352904</v>
      </c>
      <c r="E221" s="384">
        <v>99518846.953450099</v>
      </c>
      <c r="F221" s="472">
        <v>21866410.089999996</v>
      </c>
      <c r="G221" s="384">
        <v>237442923.63999996</v>
      </c>
      <c r="H221" s="472">
        <f t="shared" si="46"/>
        <v>91225609.707329258</v>
      </c>
      <c r="I221" s="44">
        <f t="shared" si="40"/>
        <v>146217313.93267071</v>
      </c>
      <c r="J221" s="330">
        <f t="shared" si="39"/>
        <v>1.6028099390266208</v>
      </c>
      <c r="K221" s="395">
        <f t="shared" si="47"/>
        <v>99518846.953450099</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v>1430828772.6499984</v>
      </c>
      <c r="D222" s="383">
        <v>1266789806.54597</v>
      </c>
      <c r="E222" s="384">
        <v>1361654155.3159699</v>
      </c>
      <c r="F222" s="472">
        <v>103344961.79999997</v>
      </c>
      <c r="G222" s="384">
        <v>1030936181.9999996</v>
      </c>
      <c r="H222" s="472">
        <f t="shared" si="46"/>
        <v>1248182975.7063057</v>
      </c>
      <c r="I222" s="44">
        <f t="shared" si="40"/>
        <v>-217246793.7063061</v>
      </c>
      <c r="J222" s="330">
        <f t="shared" si="39"/>
        <v>-0.1740504380644779</v>
      </c>
      <c r="K222" s="395">
        <f t="shared" si="47"/>
        <v>1361654155.3159699</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v>1068283.8799999999</v>
      </c>
      <c r="D223" s="383">
        <v>20266333.533883527</v>
      </c>
      <c r="E223" s="384">
        <v>20245305.533883527</v>
      </c>
      <c r="F223" s="472">
        <v>214668.74000000002</v>
      </c>
      <c r="G223" s="384">
        <v>1770826.86</v>
      </c>
      <c r="H223" s="472">
        <f t="shared" si="46"/>
        <v>18558196.739393231</v>
      </c>
      <c r="I223" s="44">
        <f t="shared" si="40"/>
        <v>-16787369.879393231</v>
      </c>
      <c r="J223" s="330">
        <f t="shared" si="39"/>
        <v>-0.90457979916544962</v>
      </c>
      <c r="K223" s="395">
        <f t="shared" si="47"/>
        <v>20245305.533883527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40"/>
        <v>0</v>
      </c>
      <c r="J224" s="330" t="str">
        <f t="shared" si="39"/>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40"/>
        <v>0</v>
      </c>
      <c r="J225" s="330" t="str">
        <f t="shared" si="39"/>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40"/>
        <v>0</v>
      </c>
      <c r="J226" s="330" t="str">
        <f t="shared" si="39"/>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40"/>
        <v>0</v>
      </c>
      <c r="J227" s="330" t="str">
        <f t="shared" si="39"/>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40"/>
        <v>0</v>
      </c>
      <c r="J228" s="330" t="str">
        <f t="shared" si="39"/>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48">SUM(C230:C239)</f>
        <v>253921598.99000007</v>
      </c>
      <c r="D229" s="444">
        <f t="shared" si="48"/>
        <v>296205168.59786338</v>
      </c>
      <c r="E229" s="441">
        <f t="shared" si="48"/>
        <v>388790375.15482336</v>
      </c>
      <c r="F229" s="443">
        <f t="shared" si="48"/>
        <v>20475521.610000003</v>
      </c>
      <c r="G229" s="441">
        <f t="shared" si="48"/>
        <v>222991452.66999993</v>
      </c>
      <c r="H229" s="443">
        <f t="shared" si="48"/>
        <v>356391177.22525477</v>
      </c>
      <c r="I229" s="44">
        <f t="shared" si="40"/>
        <v>-133399724.55525485</v>
      </c>
      <c r="J229" s="330">
        <f t="shared" si="39"/>
        <v>-0.3743070341804236</v>
      </c>
      <c r="K229" s="442">
        <f t="shared" si="48"/>
        <v>388790375.15482336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v>90863518.310000032</v>
      </c>
      <c r="D230" s="383">
        <v>296205168.59786338</v>
      </c>
      <c r="E230" s="384">
        <v>330062570.15482336</v>
      </c>
      <c r="F230" s="472">
        <v>6259346.2200000007</v>
      </c>
      <c r="G230" s="384">
        <v>84623354.279999986</v>
      </c>
      <c r="H230" s="472">
        <f>E230/12*11</f>
        <v>302557355.97525477</v>
      </c>
      <c r="I230" s="44">
        <f t="shared" si="40"/>
        <v>-217934001.6952548</v>
      </c>
      <c r="J230" s="330">
        <f t="shared" si="39"/>
        <v>-0.72030640601274609</v>
      </c>
      <c r="K230" s="395">
        <f>E230</f>
        <v>330062570.15482336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v>16556686.570000006</v>
      </c>
      <c r="D231" s="383"/>
      <c r="E231" s="384">
        <v>0</v>
      </c>
      <c r="F231" s="472">
        <v>873439.31999999983</v>
      </c>
      <c r="G231" s="384">
        <v>9753863.8400000017</v>
      </c>
      <c r="H231" s="742"/>
      <c r="I231" s="44">
        <f t="shared" si="40"/>
        <v>9753863.8400000017</v>
      </c>
      <c r="J231" s="330" t="e">
        <f t="shared" si="39"/>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v>58249918.80999998</v>
      </c>
      <c r="D232" s="383"/>
      <c r="E232" s="384">
        <v>56980067</v>
      </c>
      <c r="F232" s="472">
        <v>5736404.1400000006</v>
      </c>
      <c r="G232" s="384">
        <v>55545785.709999993</v>
      </c>
      <c r="H232" s="742">
        <f>E232/12*11</f>
        <v>52231728.083333336</v>
      </c>
      <c r="I232" s="44">
        <f t="shared" si="40"/>
        <v>3314057.6266666576</v>
      </c>
      <c r="J232" s="330">
        <f t="shared" si="39"/>
        <v>6.3449128494834209E-2</v>
      </c>
      <c r="K232" s="395">
        <f t="shared" ref="K232:K233" si="49">E232</f>
        <v>56980067</v>
      </c>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v>87440226.380000055</v>
      </c>
      <c r="D233" s="383"/>
      <c r="E233" s="384">
        <v>1747738</v>
      </c>
      <c r="F233" s="472">
        <v>7451503.1500000013</v>
      </c>
      <c r="G233" s="384">
        <v>71297216.86999996</v>
      </c>
      <c r="H233" s="742">
        <f>E233/12*11</f>
        <v>1602093.1666666667</v>
      </c>
      <c r="I233" s="44">
        <f t="shared" si="40"/>
        <v>69695123.703333288</v>
      </c>
      <c r="J233" s="330">
        <f t="shared" si="39"/>
        <v>43.502541021594737</v>
      </c>
      <c r="K233" s="395">
        <f t="shared" si="49"/>
        <v>1747738</v>
      </c>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v>811248.91999999981</v>
      </c>
      <c r="D234" s="383"/>
      <c r="E234" s="384"/>
      <c r="F234" s="472">
        <v>154828.77999999997</v>
      </c>
      <c r="G234" s="384">
        <v>1771231.9700000002</v>
      </c>
      <c r="H234" s="742"/>
      <c r="I234" s="44">
        <f t="shared" si="40"/>
        <v>1771231.9700000002</v>
      </c>
      <c r="J234" s="330" t="e">
        <f t="shared" si="39"/>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40"/>
        <v>0</v>
      </c>
      <c r="J235" s="330" t="str">
        <f t="shared" si="39"/>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40"/>
        <v>0</v>
      </c>
      <c r="J236" s="330" t="str">
        <f t="shared" si="39"/>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40"/>
        <v>0</v>
      </c>
      <c r="J237" s="330" t="str">
        <f t="shared" si="39"/>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40"/>
        <v>0</v>
      </c>
      <c r="J238" s="330" t="str">
        <f t="shared" si="39"/>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40"/>
        <v>0</v>
      </c>
      <c r="J239" s="330" t="str">
        <f t="shared" si="39"/>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50">SUM(C241:C250)</f>
        <v>0</v>
      </c>
      <c r="D240" s="444">
        <f t="shared" si="50"/>
        <v>0</v>
      </c>
      <c r="E240" s="441">
        <f t="shared" si="50"/>
        <v>0</v>
      </c>
      <c r="F240" s="443">
        <f t="shared" si="50"/>
        <v>0</v>
      </c>
      <c r="G240" s="441">
        <f t="shared" si="50"/>
        <v>0</v>
      </c>
      <c r="H240" s="443">
        <f t="shared" si="50"/>
        <v>0</v>
      </c>
      <c r="I240" s="44">
        <f t="shared" si="40"/>
        <v>0</v>
      </c>
      <c r="J240" s="330" t="str">
        <f t="shared" si="39"/>
        <v/>
      </c>
      <c r="K240" s="442">
        <f t="shared" si="50"/>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40"/>
        <v>0</v>
      </c>
      <c r="J241" s="330" t="str">
        <f t="shared" si="39"/>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40"/>
        <v>0</v>
      </c>
      <c r="J242" s="330" t="str">
        <f t="shared" si="39"/>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40"/>
        <v>0</v>
      </c>
      <c r="J243" s="330" t="str">
        <f t="shared" si="39"/>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40"/>
        <v>0</v>
      </c>
      <c r="J244" s="330" t="str">
        <f t="shared" si="39"/>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40"/>
        <v>0</v>
      </c>
      <c r="J245" s="330" t="str">
        <f t="shared" si="39"/>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40"/>
        <v>0</v>
      </c>
      <c r="J246" s="330" t="str">
        <f t="shared" si="39"/>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40"/>
        <v>0</v>
      </c>
      <c r="J247" s="330" t="str">
        <f t="shared" si="39"/>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40"/>
        <v>0</v>
      </c>
      <c r="J248" s="330" t="str">
        <f t="shared" si="39"/>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40"/>
        <v>0</v>
      </c>
      <c r="J249" s="330" t="str">
        <f t="shared" si="39"/>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40"/>
        <v>0</v>
      </c>
      <c r="J250" s="330" t="str">
        <f t="shared" si="39"/>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51">SUM(C252:C261)</f>
        <v>0</v>
      </c>
      <c r="D251" s="444">
        <f t="shared" si="51"/>
        <v>0</v>
      </c>
      <c r="E251" s="441">
        <f t="shared" si="51"/>
        <v>0</v>
      </c>
      <c r="F251" s="443">
        <f t="shared" si="51"/>
        <v>0</v>
      </c>
      <c r="G251" s="441">
        <f t="shared" si="51"/>
        <v>0</v>
      </c>
      <c r="H251" s="443">
        <f t="shared" si="51"/>
        <v>0</v>
      </c>
      <c r="I251" s="44">
        <f t="shared" si="40"/>
        <v>0</v>
      </c>
      <c r="J251" s="330" t="str">
        <f t="shared" si="39"/>
        <v/>
      </c>
      <c r="K251" s="442">
        <f t="shared" si="51"/>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40"/>
        <v>0</v>
      </c>
      <c r="J252" s="330" t="str">
        <f t="shared" si="39"/>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40"/>
        <v>0</v>
      </c>
      <c r="J253" s="330" t="str">
        <f t="shared" si="39"/>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40"/>
        <v>0</v>
      </c>
      <c r="J254" s="330" t="str">
        <f t="shared" si="39"/>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40"/>
        <v>0</v>
      </c>
      <c r="J255" s="330" t="str">
        <f t="shared" si="39"/>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40"/>
        <v>0</v>
      </c>
      <c r="J256" s="330" t="str">
        <f t="shared" si="39"/>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40"/>
        <v>0</v>
      </c>
      <c r="J257" s="330" t="str">
        <f t="shared" si="39"/>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40"/>
        <v>0</v>
      </c>
      <c r="J258" s="330" t="str">
        <f t="shared" si="39"/>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40"/>
        <v>0</v>
      </c>
      <c r="J259" s="330" t="str">
        <f t="shared" si="39"/>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40"/>
        <v>0</v>
      </c>
      <c r="J260" s="330" t="str">
        <f t="shared" si="39"/>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40"/>
        <v>0</v>
      </c>
      <c r="J261" s="330" t="str">
        <f t="shared" si="39"/>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52">SUM(C263:C272)</f>
        <v>0</v>
      </c>
      <c r="D262" s="444">
        <f t="shared" si="52"/>
        <v>0</v>
      </c>
      <c r="E262" s="441">
        <f t="shared" si="52"/>
        <v>0</v>
      </c>
      <c r="F262" s="443">
        <f t="shared" si="52"/>
        <v>0</v>
      </c>
      <c r="G262" s="441">
        <f t="shared" si="52"/>
        <v>0</v>
      </c>
      <c r="H262" s="443">
        <f t="shared" si="52"/>
        <v>0</v>
      </c>
      <c r="I262" s="44">
        <f t="shared" ref="I262:I325" si="53">G262-H262</f>
        <v>0</v>
      </c>
      <c r="J262" s="330" t="str">
        <f t="shared" ref="J262:J325" si="54">IF(I262=0,"",I262/H262)</f>
        <v/>
      </c>
      <c r="K262" s="442">
        <f t="shared" si="52"/>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53"/>
        <v>0</v>
      </c>
      <c r="J263" s="330" t="str">
        <f t="shared" si="54"/>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53"/>
        <v>0</v>
      </c>
      <c r="J264" s="330" t="str">
        <f t="shared" si="54"/>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53"/>
        <v>0</v>
      </c>
      <c r="J265" s="330" t="str">
        <f t="shared" si="54"/>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53"/>
        <v>0</v>
      </c>
      <c r="J266" s="330" t="str">
        <f t="shared" si="54"/>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53"/>
        <v>0</v>
      </c>
      <c r="J267" s="330" t="str">
        <f t="shared" si="54"/>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53"/>
        <v>0</v>
      </c>
      <c r="J268" s="330" t="str">
        <f t="shared" si="54"/>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53"/>
        <v>0</v>
      </c>
      <c r="J269" s="330" t="str">
        <f t="shared" si="54"/>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53"/>
        <v>0</v>
      </c>
      <c r="J270" s="330" t="str">
        <f t="shared" si="54"/>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53"/>
        <v>0</v>
      </c>
      <c r="J271" s="330" t="str">
        <f t="shared" si="54"/>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53"/>
        <v>0</v>
      </c>
      <c r="J272" s="330" t="str">
        <f t="shared" si="54"/>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55">SUM(C274:C283)</f>
        <v>0</v>
      </c>
      <c r="D273" s="444">
        <f t="shared" si="55"/>
        <v>0</v>
      </c>
      <c r="E273" s="441">
        <f t="shared" si="55"/>
        <v>0</v>
      </c>
      <c r="F273" s="443">
        <f t="shared" si="55"/>
        <v>0</v>
      </c>
      <c r="G273" s="441">
        <f t="shared" si="55"/>
        <v>0</v>
      </c>
      <c r="H273" s="443">
        <f t="shared" si="55"/>
        <v>0</v>
      </c>
      <c r="I273" s="44">
        <f t="shared" si="53"/>
        <v>0</v>
      </c>
      <c r="J273" s="330" t="str">
        <f t="shared" si="54"/>
        <v/>
      </c>
      <c r="K273" s="442">
        <f t="shared" si="55"/>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53"/>
        <v>0</v>
      </c>
      <c r="J274" s="330" t="str">
        <f t="shared" si="54"/>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53"/>
        <v>0</v>
      </c>
      <c r="J275" s="330" t="str">
        <f t="shared" si="54"/>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53"/>
        <v>0</v>
      </c>
      <c r="J276" s="330" t="str">
        <f t="shared" si="54"/>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53"/>
        <v>0</v>
      </c>
      <c r="J277" s="330" t="str">
        <f t="shared" si="54"/>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53"/>
        <v>0</v>
      </c>
      <c r="J278" s="330" t="str">
        <f t="shared" si="54"/>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53"/>
        <v>0</v>
      </c>
      <c r="J279" s="330" t="str">
        <f t="shared" si="54"/>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53"/>
        <v>0</v>
      </c>
      <c r="J280" s="330" t="str">
        <f t="shared" si="54"/>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53"/>
        <v>0</v>
      </c>
      <c r="J281" s="330" t="str">
        <f t="shared" si="54"/>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53"/>
        <v>0</v>
      </c>
      <c r="J282" s="330" t="str">
        <f t="shared" si="54"/>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53"/>
        <v>0</v>
      </c>
      <c r="J283" s="330" t="str">
        <f t="shared" si="54"/>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56">SUM(C285:C294)</f>
        <v>0</v>
      </c>
      <c r="D284" s="444">
        <f t="shared" si="56"/>
        <v>0</v>
      </c>
      <c r="E284" s="441">
        <f t="shared" si="56"/>
        <v>0</v>
      </c>
      <c r="F284" s="443">
        <f t="shared" si="56"/>
        <v>0</v>
      </c>
      <c r="G284" s="441">
        <f t="shared" si="56"/>
        <v>0</v>
      </c>
      <c r="H284" s="443">
        <f t="shared" si="56"/>
        <v>0</v>
      </c>
      <c r="I284" s="44">
        <f t="shared" si="53"/>
        <v>0</v>
      </c>
      <c r="J284" s="330" t="str">
        <f t="shared" si="54"/>
        <v/>
      </c>
      <c r="K284" s="442">
        <f t="shared" si="56"/>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53"/>
        <v>0</v>
      </c>
      <c r="J285" s="330" t="str">
        <f t="shared" si="54"/>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53"/>
        <v>0</v>
      </c>
      <c r="J286" s="330" t="str">
        <f t="shared" si="54"/>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53"/>
        <v>0</v>
      </c>
      <c r="J287" s="330" t="str">
        <f t="shared" si="54"/>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53"/>
        <v>0</v>
      </c>
      <c r="J288" s="330" t="str">
        <f t="shared" si="54"/>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53"/>
        <v>0</v>
      </c>
      <c r="J289" s="330" t="str">
        <f t="shared" si="54"/>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53"/>
        <v>0</v>
      </c>
      <c r="J290" s="330" t="str">
        <f t="shared" si="54"/>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53"/>
        <v>0</v>
      </c>
      <c r="J291" s="330" t="str">
        <f t="shared" si="54"/>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53"/>
        <v>0</v>
      </c>
      <c r="J292" s="330" t="str">
        <f t="shared" si="54"/>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53"/>
        <v>0</v>
      </c>
      <c r="J293" s="330" t="str">
        <f t="shared" si="54"/>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53"/>
        <v>0</v>
      </c>
      <c r="J294" s="330" t="str">
        <f t="shared" si="54"/>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57">SUM(C296:C305)</f>
        <v>0</v>
      </c>
      <c r="D295" s="444">
        <f t="shared" si="57"/>
        <v>0</v>
      </c>
      <c r="E295" s="441">
        <f t="shared" si="57"/>
        <v>0</v>
      </c>
      <c r="F295" s="443">
        <f t="shared" si="57"/>
        <v>0</v>
      </c>
      <c r="G295" s="441">
        <f t="shared" si="57"/>
        <v>0</v>
      </c>
      <c r="H295" s="443">
        <f t="shared" si="57"/>
        <v>0</v>
      </c>
      <c r="I295" s="44">
        <f t="shared" si="53"/>
        <v>0</v>
      </c>
      <c r="J295" s="330" t="str">
        <f t="shared" si="54"/>
        <v/>
      </c>
      <c r="K295" s="442">
        <f t="shared" si="57"/>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53"/>
        <v>0</v>
      </c>
      <c r="J296" s="330" t="str">
        <f t="shared" si="54"/>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53"/>
        <v>0</v>
      </c>
      <c r="J297" s="330" t="str">
        <f t="shared" si="54"/>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53"/>
        <v>0</v>
      </c>
      <c r="J298" s="330" t="str">
        <f t="shared" si="54"/>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53"/>
        <v>0</v>
      </c>
      <c r="J299" s="330" t="str">
        <f t="shared" si="54"/>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53"/>
        <v>0</v>
      </c>
      <c r="J300" s="330" t="str">
        <f t="shared" si="54"/>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53"/>
        <v>0</v>
      </c>
      <c r="J301" s="330" t="str">
        <f t="shared" si="54"/>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53"/>
        <v>0</v>
      </c>
      <c r="J302" s="330" t="str">
        <f t="shared" si="54"/>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53"/>
        <v>0</v>
      </c>
      <c r="J303" s="330" t="str">
        <f t="shared" si="54"/>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53"/>
        <v>0</v>
      </c>
      <c r="J304" s="330" t="str">
        <f t="shared" si="54"/>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53"/>
        <v>0</v>
      </c>
      <c r="J305" s="330" t="str">
        <f t="shared" si="54"/>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58">SUM(C307:C316)</f>
        <v>0</v>
      </c>
      <c r="D306" s="444">
        <f t="shared" si="58"/>
        <v>0</v>
      </c>
      <c r="E306" s="441">
        <f t="shared" si="58"/>
        <v>0</v>
      </c>
      <c r="F306" s="443">
        <f t="shared" si="58"/>
        <v>0</v>
      </c>
      <c r="G306" s="441">
        <f t="shared" si="58"/>
        <v>0</v>
      </c>
      <c r="H306" s="443">
        <f t="shared" si="58"/>
        <v>0</v>
      </c>
      <c r="I306" s="44">
        <f t="shared" si="53"/>
        <v>0</v>
      </c>
      <c r="J306" s="330" t="str">
        <f t="shared" si="54"/>
        <v/>
      </c>
      <c r="K306" s="442">
        <f t="shared" si="58"/>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53"/>
        <v>0</v>
      </c>
      <c r="J307" s="330" t="str">
        <f t="shared" si="54"/>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53"/>
        <v>0</v>
      </c>
      <c r="J308" s="330" t="str">
        <f t="shared" si="54"/>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53"/>
        <v>0</v>
      </c>
      <c r="J309" s="330" t="str">
        <f t="shared" si="54"/>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53"/>
        <v>0</v>
      </c>
      <c r="J310" s="330" t="str">
        <f t="shared" si="54"/>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53"/>
        <v>0</v>
      </c>
      <c r="J311" s="330" t="str">
        <f t="shared" si="54"/>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53"/>
        <v>0</v>
      </c>
      <c r="J312" s="330" t="str">
        <f t="shared" si="54"/>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53"/>
        <v>0</v>
      </c>
      <c r="J313" s="330" t="str">
        <f t="shared" si="54"/>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53"/>
        <v>0</v>
      </c>
      <c r="J314" s="330" t="str">
        <f t="shared" si="54"/>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53"/>
        <v>0</v>
      </c>
      <c r="J315" s="330" t="str">
        <f t="shared" si="54"/>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53"/>
        <v>0</v>
      </c>
      <c r="J316" s="330" t="str">
        <f t="shared" si="54"/>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59">SUM(C318:C327)</f>
        <v>0</v>
      </c>
      <c r="D317" s="444">
        <f t="shared" si="59"/>
        <v>0</v>
      </c>
      <c r="E317" s="441">
        <f t="shared" si="59"/>
        <v>0</v>
      </c>
      <c r="F317" s="443">
        <f t="shared" si="59"/>
        <v>0</v>
      </c>
      <c r="G317" s="441">
        <f t="shared" si="59"/>
        <v>0</v>
      </c>
      <c r="H317" s="443">
        <f t="shared" si="59"/>
        <v>0</v>
      </c>
      <c r="I317" s="44">
        <f t="shared" si="53"/>
        <v>0</v>
      </c>
      <c r="J317" s="330" t="str">
        <f t="shared" si="54"/>
        <v/>
      </c>
      <c r="K317" s="442">
        <f t="shared" si="59"/>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53"/>
        <v>0</v>
      </c>
      <c r="J318" s="330" t="str">
        <f t="shared" si="54"/>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53"/>
        <v>0</v>
      </c>
      <c r="J319" s="330" t="str">
        <f t="shared" si="54"/>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53"/>
        <v>0</v>
      </c>
      <c r="J320" s="330" t="str">
        <f t="shared" si="54"/>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53"/>
        <v>0</v>
      </c>
      <c r="J321" s="330" t="str">
        <f t="shared" si="54"/>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53"/>
        <v>0</v>
      </c>
      <c r="J322" s="330" t="str">
        <f t="shared" si="54"/>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53"/>
        <v>0</v>
      </c>
      <c r="J323" s="330" t="str">
        <f t="shared" si="54"/>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53"/>
        <v>0</v>
      </c>
      <c r="J324" s="330" t="str">
        <f t="shared" si="54"/>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53"/>
        <v>0</v>
      </c>
      <c r="J325" s="330" t="str">
        <f t="shared" si="54"/>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60">G326-H326</f>
        <v>0</v>
      </c>
      <c r="J326" s="330" t="str">
        <f t="shared" ref="J326:J341" si="61">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60"/>
        <v>0</v>
      </c>
      <c r="J327" s="330" t="str">
        <f t="shared" si="61"/>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62">SUM(C329:C338)</f>
        <v>0</v>
      </c>
      <c r="D328" s="444">
        <f t="shared" si="62"/>
        <v>0</v>
      </c>
      <c r="E328" s="441">
        <f t="shared" si="62"/>
        <v>0</v>
      </c>
      <c r="F328" s="443">
        <f t="shared" si="62"/>
        <v>0</v>
      </c>
      <c r="G328" s="441">
        <f t="shared" si="62"/>
        <v>0</v>
      </c>
      <c r="H328" s="443">
        <f t="shared" si="62"/>
        <v>0</v>
      </c>
      <c r="I328" s="44">
        <f t="shared" si="60"/>
        <v>0</v>
      </c>
      <c r="J328" s="330" t="str">
        <f t="shared" si="61"/>
        <v/>
      </c>
      <c r="K328" s="442">
        <f t="shared" si="62"/>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60"/>
        <v>0</v>
      </c>
      <c r="J329" s="330" t="str">
        <f t="shared" si="61"/>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60"/>
        <v>0</v>
      </c>
      <c r="J330" s="330" t="str">
        <f t="shared" si="61"/>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60"/>
        <v>0</v>
      </c>
      <c r="J331" s="330" t="str">
        <f t="shared" si="61"/>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60"/>
        <v>0</v>
      </c>
      <c r="J332" s="330" t="str">
        <f t="shared" si="61"/>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60"/>
        <v>0</v>
      </c>
      <c r="J333" s="330" t="str">
        <f t="shared" si="61"/>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60"/>
        <v>0</v>
      </c>
      <c r="J334" s="330" t="str">
        <f t="shared" si="61"/>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60"/>
        <v>0</v>
      </c>
      <c r="J335" s="330" t="str">
        <f t="shared" si="61"/>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60"/>
        <v>0</v>
      </c>
      <c r="J336" s="330" t="str">
        <f t="shared" si="61"/>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60"/>
        <v>0</v>
      </c>
      <c r="J337" s="330" t="str">
        <f t="shared" si="61"/>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60"/>
        <v>0</v>
      </c>
      <c r="J338" s="330" t="str">
        <f t="shared" si="61"/>
        <v/>
      </c>
      <c r="K338" s="395"/>
      <c r="L338" s="452">
        <f t="shared" ref="L338:W338" si="63">SUM(L173:L249)</f>
        <v>0</v>
      </c>
      <c r="M338" s="453">
        <f t="shared" si="63"/>
        <v>0</v>
      </c>
      <c r="N338" s="453">
        <f t="shared" si="63"/>
        <v>0</v>
      </c>
      <c r="O338" s="453">
        <f t="shared" si="63"/>
        <v>0</v>
      </c>
      <c r="P338" s="453">
        <f t="shared" si="63"/>
        <v>0</v>
      </c>
      <c r="Q338" s="453">
        <f t="shared" si="63"/>
        <v>0</v>
      </c>
      <c r="R338" s="453">
        <f t="shared" si="63"/>
        <v>0</v>
      </c>
      <c r="S338" s="453">
        <f t="shared" si="63"/>
        <v>0</v>
      </c>
      <c r="T338" s="453">
        <f t="shared" si="63"/>
        <v>0</v>
      </c>
      <c r="U338" s="453">
        <f t="shared" si="63"/>
        <v>0</v>
      </c>
      <c r="V338" s="453">
        <f t="shared" si="63"/>
        <v>0</v>
      </c>
      <c r="W338" s="453">
        <f t="shared" si="63"/>
        <v>0</v>
      </c>
    </row>
    <row r="339" spans="1:24" ht="12.75" customHeight="1" x14ac:dyDescent="0.25">
      <c r="A339" s="447" t="s">
        <v>634</v>
      </c>
      <c r="B339" s="445">
        <v>2</v>
      </c>
      <c r="C339" s="508">
        <f t="shared" ref="C339:H339" si="64">C174+C185+C196+C207+C218+C229+C240+C251+C262++C273+C284+C295+C306+C317+C328</f>
        <v>5566648837.5499973</v>
      </c>
      <c r="D339" s="475">
        <f t="shared" si="64"/>
        <v>5516477469.544631</v>
      </c>
      <c r="E339" s="430">
        <f t="shared" si="64"/>
        <v>5673151026.6970739</v>
      </c>
      <c r="F339" s="474">
        <f t="shared" si="64"/>
        <v>393727535.93000001</v>
      </c>
      <c r="G339" s="430">
        <f t="shared" si="64"/>
        <v>4830298861.9000006</v>
      </c>
      <c r="H339" s="474">
        <f t="shared" si="64"/>
        <v>5200388441.1389847</v>
      </c>
      <c r="I339" s="430">
        <f t="shared" si="60"/>
        <v>-370089579.23898411</v>
      </c>
      <c r="J339" s="430">
        <f t="shared" si="61"/>
        <v>-7.1165756832950622E-2</v>
      </c>
      <c r="K339" s="513">
        <f>K174+K185+K196+K207+K218+K229+K240+K251+K262++K273+K284+K295+K306+K317+K328</f>
        <v>5673151026.6970739</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60"/>
        <v>0</v>
      </c>
      <c r="J340" s="50" t="str">
        <f t="shared" si="61"/>
        <v/>
      </c>
      <c r="K340" s="194"/>
      <c r="L340" s="480">
        <f t="shared" ref="L340:W340" si="65">L170-L338</f>
        <v>0</v>
      </c>
      <c r="M340" s="481">
        <f t="shared" si="65"/>
        <v>0</v>
      </c>
      <c r="N340" s="481">
        <f t="shared" si="65"/>
        <v>0</v>
      </c>
      <c r="O340" s="481">
        <f t="shared" si="65"/>
        <v>0</v>
      </c>
      <c r="P340" s="481">
        <f t="shared" si="65"/>
        <v>0</v>
      </c>
      <c r="Q340" s="481">
        <f t="shared" si="65"/>
        <v>0</v>
      </c>
      <c r="R340" s="481">
        <f t="shared" si="65"/>
        <v>0</v>
      </c>
      <c r="S340" s="481">
        <f t="shared" si="65"/>
        <v>0</v>
      </c>
      <c r="T340" s="481">
        <f t="shared" si="65"/>
        <v>0</v>
      </c>
      <c r="U340" s="481">
        <f t="shared" si="65"/>
        <v>0</v>
      </c>
      <c r="V340" s="481">
        <f t="shared" si="65"/>
        <v>0</v>
      </c>
      <c r="W340" s="481">
        <f t="shared" si="65"/>
        <v>0</v>
      </c>
    </row>
    <row r="341" spans="1:24" s="486" customFormat="1" ht="11.25" customHeight="1" thickTop="1" x14ac:dyDescent="0.25">
      <c r="A341" s="886" t="str">
        <f>result</f>
        <v>Surplus/ (Deficit) for the year</v>
      </c>
      <c r="B341" s="477">
        <v>2</v>
      </c>
      <c r="C341" s="509">
        <f t="shared" ref="C341:H341" si="66">C171-C339</f>
        <v>223395112.45000267</v>
      </c>
      <c r="D341" s="512">
        <f t="shared" si="66"/>
        <v>927224369.32743359</v>
      </c>
      <c r="E341" s="55">
        <f t="shared" si="66"/>
        <v>921771505.17499065</v>
      </c>
      <c r="F341" s="479">
        <f t="shared" si="66"/>
        <v>35696538.069999993</v>
      </c>
      <c r="G341" s="55">
        <f t="shared" si="66"/>
        <v>758061369.15999985</v>
      </c>
      <c r="H341" s="479">
        <f t="shared" si="66"/>
        <v>844957213.07707405</v>
      </c>
      <c r="I341" s="55">
        <f t="shared" si="60"/>
        <v>-86895843.917074203</v>
      </c>
      <c r="J341" s="55">
        <f t="shared" si="61"/>
        <v>-0.10284052561741711</v>
      </c>
      <c r="K341" s="235">
        <f>K171-K339</f>
        <v>921771505.17499065</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C39" sqref="C39"/>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"&amp;S71B&amp; " - "&amp;date</f>
        <v>KZN225 Msunduzi - Table C4 Consolidated Monthly Budget Statement - Financial Performance (revenue and expenditure)  - M11 May</v>
      </c>
      <c r="B1" s="1056"/>
      <c r="C1" s="1056"/>
      <c r="D1" s="1056"/>
      <c r="E1" s="1056"/>
      <c r="F1" s="1056"/>
      <c r="G1" s="1056"/>
      <c r="H1" s="1056"/>
      <c r="I1" s="1056"/>
      <c r="J1" s="1056"/>
      <c r="K1" s="1056"/>
    </row>
    <row r="2" spans="1:11" x14ac:dyDescent="0.25">
      <c r="A2" s="1045" t="str">
        <f>desc</f>
        <v>Description</v>
      </c>
      <c r="B2" s="1054" t="str">
        <f>head27</f>
        <v>Ref</v>
      </c>
      <c r="C2" s="158" t="str">
        <f>Head1</f>
        <v>2019/20</v>
      </c>
      <c r="D2" s="1040" t="str">
        <f>Head2</f>
        <v>Budget Year 2020/21</v>
      </c>
      <c r="E2" s="1041"/>
      <c r="F2" s="1041"/>
      <c r="G2" s="1041"/>
      <c r="H2" s="1041"/>
      <c r="I2" s="1041"/>
      <c r="J2" s="1041"/>
      <c r="K2" s="1042"/>
    </row>
    <row r="3" spans="1:11" ht="25.5" x14ac:dyDescent="0.25">
      <c r="A3" s="1046"/>
      <c r="B3" s="1055"/>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v>1177107606</v>
      </c>
      <c r="D6" s="745">
        <v>1269794594.0217998</v>
      </c>
      <c r="E6" s="733">
        <v>1269794594.0217998</v>
      </c>
      <c r="F6" s="733">
        <v>87585561.579999998</v>
      </c>
      <c r="G6" s="733">
        <v>1101755574.9200001</v>
      </c>
      <c r="H6" s="733">
        <f>E6/12*11</f>
        <v>1163978377.8533165</v>
      </c>
      <c r="I6" s="44">
        <f t="shared" ref="I6:I22" si="0">G6-H6</f>
        <v>-62222802.933316469</v>
      </c>
      <c r="J6" s="330">
        <f t="shared" ref="J6:J22" si="1">IF(I6=0,"",I6/H6)</f>
        <v>-5.3457009268567127E-2</v>
      </c>
      <c r="K6" s="735">
        <f>E6</f>
        <v>1269794594.0217998</v>
      </c>
    </row>
    <row r="7" spans="1:11" ht="11.25" customHeight="1" x14ac:dyDescent="0.25">
      <c r="A7" s="39" t="s">
        <v>834</v>
      </c>
      <c r="B7" s="419"/>
      <c r="C7" s="748">
        <v>2159912320</v>
      </c>
      <c r="D7" s="745">
        <v>2584775677.1378117</v>
      </c>
      <c r="E7" s="733">
        <v>2584775677.1378117</v>
      </c>
      <c r="F7" s="733">
        <v>179552736.69</v>
      </c>
      <c r="G7" s="733">
        <v>2105018186.0799999</v>
      </c>
      <c r="H7" s="733">
        <f t="shared" ref="H7:H9" si="2">E7/12*11</f>
        <v>2369377704.042994</v>
      </c>
      <c r="I7" s="44">
        <f t="shared" si="0"/>
        <v>-264359517.9629941</v>
      </c>
      <c r="J7" s="330">
        <f t="shared" si="1"/>
        <v>-0.11157339647110864</v>
      </c>
      <c r="K7" s="735">
        <f>E7</f>
        <v>2584775677.1378117</v>
      </c>
    </row>
    <row r="8" spans="1:11" ht="11.25" customHeight="1" x14ac:dyDescent="0.25">
      <c r="A8" s="86" t="s">
        <v>835</v>
      </c>
      <c r="B8" s="421"/>
      <c r="C8" s="748">
        <v>662849315</v>
      </c>
      <c r="D8" s="745">
        <v>722633094.82360029</v>
      </c>
      <c r="E8" s="733">
        <v>722633094.82360029</v>
      </c>
      <c r="F8" s="733">
        <v>58225382.57</v>
      </c>
      <c r="G8" s="733">
        <v>701830732.46000004</v>
      </c>
      <c r="H8" s="733">
        <f t="shared" si="2"/>
        <v>662413670.25496686</v>
      </c>
      <c r="I8" s="44">
        <f t="shared" si="0"/>
        <v>39417062.205033183</v>
      </c>
      <c r="J8" s="330">
        <f t="shared" si="1"/>
        <v>5.9505206451825381E-2</v>
      </c>
      <c r="K8" s="735">
        <f>E8</f>
        <v>722633094.82360029</v>
      </c>
    </row>
    <row r="9" spans="1:11" ht="11.25" customHeight="1" x14ac:dyDescent="0.25">
      <c r="A9" s="86" t="s">
        <v>836</v>
      </c>
      <c r="B9" s="421"/>
      <c r="C9" s="748">
        <v>172220501.91999999</v>
      </c>
      <c r="D9" s="745">
        <v>152021749.3608</v>
      </c>
      <c r="E9" s="733">
        <v>152021749.3608</v>
      </c>
      <c r="F9" s="733">
        <v>21542623.309999999</v>
      </c>
      <c r="G9" s="733">
        <v>151794648.06</v>
      </c>
      <c r="H9" s="733">
        <f t="shared" si="2"/>
        <v>139353270.24739999</v>
      </c>
      <c r="I9" s="44">
        <f t="shared" si="0"/>
        <v>12441377.812600017</v>
      </c>
      <c r="J9" s="330">
        <f t="shared" si="1"/>
        <v>8.9279410454539687E-2</v>
      </c>
      <c r="K9" s="735">
        <f>E9</f>
        <v>152021749.3608</v>
      </c>
    </row>
    <row r="10" spans="1:11" ht="11.25" customHeight="1" x14ac:dyDescent="0.25">
      <c r="A10" s="517" t="s">
        <v>72</v>
      </c>
      <c r="B10" s="421"/>
      <c r="C10" s="748">
        <v>109639121</v>
      </c>
      <c r="D10" s="745">
        <v>116333080.9707</v>
      </c>
      <c r="E10" s="733">
        <v>116333080.9707</v>
      </c>
      <c r="F10" s="733">
        <v>9336230.6699999999</v>
      </c>
      <c r="G10" s="733">
        <v>98082115.730000004</v>
      </c>
      <c r="H10" s="733">
        <f>E10/12*11</f>
        <v>106638657.55647498</v>
      </c>
      <c r="I10" s="44">
        <f t="shared" si="0"/>
        <v>-8556541.8264749795</v>
      </c>
      <c r="J10" s="330">
        <f t="shared" si="1"/>
        <v>-8.0238649121623679E-2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v>43597286</v>
      </c>
      <c r="D12" s="745">
        <v>29078797.626999993</v>
      </c>
      <c r="E12" s="733">
        <v>29078797.626999993</v>
      </c>
      <c r="F12" s="733">
        <v>2039159.41</v>
      </c>
      <c r="G12" s="733">
        <v>12514451.300000001</v>
      </c>
      <c r="H12" s="733">
        <f t="shared" ref="H12:H14" si="3">E12/12*11</f>
        <v>26655564.491416659</v>
      </c>
      <c r="I12" s="44">
        <f t="shared" si="0"/>
        <v>-14141113.191416658</v>
      </c>
      <c r="J12" s="330">
        <f t="shared" si="1"/>
        <v>-0.53051261382853954</v>
      </c>
      <c r="K12" s="735">
        <f>E12</f>
        <v>29078797.626999993</v>
      </c>
    </row>
    <row r="13" spans="1:11" ht="11.25" customHeight="1" x14ac:dyDescent="0.25">
      <c r="A13" s="86" t="s">
        <v>838</v>
      </c>
      <c r="B13" s="421"/>
      <c r="C13" s="748">
        <v>14116343.539999999</v>
      </c>
      <c r="D13" s="745">
        <v>15260422.42725</v>
      </c>
      <c r="E13" s="733">
        <v>15369322.42725</v>
      </c>
      <c r="F13" s="733">
        <v>973018.17</v>
      </c>
      <c r="G13" s="733">
        <v>7020321.1000000006</v>
      </c>
      <c r="H13" s="733">
        <f t="shared" si="3"/>
        <v>14088545.5583125</v>
      </c>
      <c r="I13" s="44">
        <f t="shared" si="0"/>
        <v>-7068224.4583124993</v>
      </c>
      <c r="J13" s="330">
        <f t="shared" si="1"/>
        <v>-0.50170008174776548</v>
      </c>
      <c r="K13" s="735">
        <f>E13</f>
        <v>15369322.42725</v>
      </c>
    </row>
    <row r="14" spans="1:11" ht="11.25" customHeight="1" x14ac:dyDescent="0.25">
      <c r="A14" s="86" t="s">
        <v>839</v>
      </c>
      <c r="B14" s="421"/>
      <c r="C14" s="748">
        <v>292253612.14999998</v>
      </c>
      <c r="D14" s="745">
        <v>202457793.88559997</v>
      </c>
      <c r="E14" s="733">
        <v>202457793.88559997</v>
      </c>
      <c r="F14" s="733">
        <v>12603378.32</v>
      </c>
      <c r="G14" s="733">
        <v>170695997.91999999</v>
      </c>
      <c r="H14" s="733">
        <f t="shared" si="3"/>
        <v>185586311.06179997</v>
      </c>
      <c r="I14" s="44">
        <f t="shared" si="0"/>
        <v>-14890313.141799986</v>
      </c>
      <c r="J14" s="330">
        <f t="shared" si="1"/>
        <v>-8.0233897945423002E-2</v>
      </c>
      <c r="K14" s="735">
        <f>E14</f>
        <v>202457793.88559997</v>
      </c>
    </row>
    <row r="15" spans="1:11" ht="11.25" customHeight="1" x14ac:dyDescent="0.25">
      <c r="A15" s="86" t="s">
        <v>921</v>
      </c>
      <c r="B15" s="421"/>
      <c r="C15" s="748"/>
      <c r="D15" s="745"/>
      <c r="E15" s="733">
        <v>0</v>
      </c>
      <c r="F15" s="733"/>
      <c r="G15" s="733"/>
      <c r="H15" s="733"/>
      <c r="I15" s="44">
        <f t="shared" si="0"/>
        <v>0</v>
      </c>
      <c r="J15" s="330" t="str">
        <f t="shared" si="1"/>
        <v/>
      </c>
      <c r="K15" s="735"/>
    </row>
    <row r="16" spans="1:11" ht="11.25" customHeight="1" x14ac:dyDescent="0.25">
      <c r="A16" s="86" t="s">
        <v>1117</v>
      </c>
      <c r="B16" s="421"/>
      <c r="C16" s="748">
        <v>13272582.050000001</v>
      </c>
      <c r="D16" s="745">
        <v>1798551.4436999999</v>
      </c>
      <c r="E16" s="733">
        <v>1798551.4436999999</v>
      </c>
      <c r="F16" s="733">
        <v>16010497.810000001</v>
      </c>
      <c r="G16" s="733">
        <v>16523836.92</v>
      </c>
      <c r="H16" s="733">
        <f t="shared" ref="H16:H20" si="4">E16/12*11</f>
        <v>1648672.1567249999</v>
      </c>
      <c r="I16" s="44">
        <f t="shared" si="0"/>
        <v>14875164.763274999</v>
      </c>
      <c r="J16" s="330">
        <f t="shared" si="1"/>
        <v>9.0225122700099014</v>
      </c>
      <c r="K16" s="735">
        <f>E16</f>
        <v>1798551.4436999999</v>
      </c>
    </row>
    <row r="17" spans="1:11" ht="11.25" customHeight="1" x14ac:dyDescent="0.25">
      <c r="A17" s="86" t="s">
        <v>840</v>
      </c>
      <c r="B17" s="421"/>
      <c r="C17" s="748">
        <v>604456</v>
      </c>
      <c r="D17" s="745">
        <v>1119569.0055</v>
      </c>
      <c r="E17" s="733">
        <v>1119569.0055</v>
      </c>
      <c r="F17" s="733">
        <v>35396.620000000003</v>
      </c>
      <c r="G17" s="733">
        <v>516907.6</v>
      </c>
      <c r="H17" s="733">
        <f t="shared" si="4"/>
        <v>1026271.5883749999</v>
      </c>
      <c r="I17" s="44">
        <f t="shared" si="0"/>
        <v>-509363.98837499996</v>
      </c>
      <c r="J17" s="330">
        <f t="shared" si="1"/>
        <v>-0.49632474887230166</v>
      </c>
      <c r="K17" s="735">
        <f>E17</f>
        <v>1119569.0055</v>
      </c>
    </row>
    <row r="18" spans="1:11" ht="11.25" customHeight="1" x14ac:dyDescent="0.25">
      <c r="A18" s="86" t="s">
        <v>580</v>
      </c>
      <c r="B18" s="421"/>
      <c r="C18" s="748">
        <v>1090372</v>
      </c>
      <c r="D18" s="745">
        <v>601902.02599999995</v>
      </c>
      <c r="E18" s="733">
        <v>601902.02599999995</v>
      </c>
      <c r="F18" s="733">
        <v>568520</v>
      </c>
      <c r="G18" s="733">
        <v>1966320</v>
      </c>
      <c r="H18" s="733">
        <f t="shared" si="4"/>
        <v>551743.52383333328</v>
      </c>
      <c r="I18" s="44">
        <f t="shared" si="0"/>
        <v>1414576.4761666667</v>
      </c>
      <c r="J18" s="330">
        <f t="shared" si="1"/>
        <v>2.5638297778987105</v>
      </c>
      <c r="K18" s="735">
        <f>E18</f>
        <v>601902.02599999995</v>
      </c>
    </row>
    <row r="19" spans="1:11" ht="11.25" customHeight="1" x14ac:dyDescent="0.25">
      <c r="A19" s="518" t="s">
        <v>1118</v>
      </c>
      <c r="B19" s="421"/>
      <c r="C19" s="748">
        <v>637128044</v>
      </c>
      <c r="D19" s="745">
        <v>675483240</v>
      </c>
      <c r="E19" s="733">
        <v>819982787</v>
      </c>
      <c r="F19" s="733">
        <v>5364582.32</v>
      </c>
      <c r="G19" s="733">
        <v>745207087.97000003</v>
      </c>
      <c r="H19" s="733">
        <f t="shared" si="4"/>
        <v>751650888.08333337</v>
      </c>
      <c r="I19" s="44">
        <f t="shared" si="0"/>
        <v>-6443800.1133333445</v>
      </c>
      <c r="J19" s="330">
        <f t="shared" si="1"/>
        <v>-8.5728630345460848E-3</v>
      </c>
      <c r="K19" s="735">
        <f>E19</f>
        <v>819982787</v>
      </c>
    </row>
    <row r="20" spans="1:11" ht="11.25" customHeight="1" x14ac:dyDescent="0.25">
      <c r="A20" s="86" t="s">
        <v>453</v>
      </c>
      <c r="B20" s="421"/>
      <c r="C20" s="748">
        <v>76138861.760000005</v>
      </c>
      <c r="D20" s="745">
        <v>146451785.14229998</v>
      </c>
      <c r="E20" s="733">
        <v>146451785.14229998</v>
      </c>
      <c r="F20" s="733">
        <v>3651085.75</v>
      </c>
      <c r="G20" s="733">
        <v>66919807.979999997</v>
      </c>
      <c r="H20" s="733">
        <f t="shared" si="4"/>
        <v>134247469.71377498</v>
      </c>
      <c r="I20" s="44">
        <f t="shared" si="0"/>
        <v>-67327661.73377499</v>
      </c>
      <c r="J20" s="330">
        <f t="shared" si="1"/>
        <v>-0.50151903702410394</v>
      </c>
      <c r="K20" s="735">
        <f>E20</f>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5">SUM(C6:C10)+SUM(C12:C21)</f>
        <v>5359930421.4200001</v>
      </c>
      <c r="D22" s="523">
        <f t="shared" si="5"/>
        <v>5917810257.8720617</v>
      </c>
      <c r="E22" s="524">
        <f t="shared" si="5"/>
        <v>6062418704.8720617</v>
      </c>
      <c r="F22" s="524">
        <f t="shared" si="5"/>
        <v>397488173.22000003</v>
      </c>
      <c r="G22" s="524">
        <f t="shared" si="5"/>
        <v>5179845988.04</v>
      </c>
      <c r="H22" s="524">
        <f t="shared" si="5"/>
        <v>5557217146.1327229</v>
      </c>
      <c r="I22" s="524">
        <f t="shared" si="0"/>
        <v>-377371158.09272289</v>
      </c>
      <c r="J22" s="525">
        <f t="shared" si="1"/>
        <v>-6.7906498553027772E-2</v>
      </c>
      <c r="K22" s="526">
        <f>SUM(K6:K10)+SUM(K12:K21)</f>
        <v>6062418704.8720617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v>1345486985</v>
      </c>
      <c r="D25" s="745">
        <v>1478324301.5741799</v>
      </c>
      <c r="E25" s="733">
        <v>1474657970.2495086</v>
      </c>
      <c r="F25" s="733">
        <v>106056338.99999999</v>
      </c>
      <c r="G25" s="733">
        <v>1234682866.9000008</v>
      </c>
      <c r="H25" s="733">
        <f t="shared" ref="H25:H35" si="6">E25/12*11</f>
        <v>1351769806.0620496</v>
      </c>
      <c r="I25" s="44">
        <f t="shared" ref="I25:I36" si="7">G25-H25</f>
        <v>-117086939.16204882</v>
      </c>
      <c r="J25" s="330">
        <f t="shared" ref="J25:J41" si="8">IF(I25=0,"",I25/H25)</f>
        <v>-8.6617513305127208E-2</v>
      </c>
      <c r="K25" s="735">
        <f t="shared" ref="K25:K35" si="9">E25</f>
        <v>1474657970.2495086</v>
      </c>
    </row>
    <row r="26" spans="1:11" ht="12.75" customHeight="1" x14ac:dyDescent="0.25">
      <c r="A26" s="39" t="s">
        <v>477</v>
      </c>
      <c r="B26" s="419"/>
      <c r="C26" s="748">
        <v>43759322</v>
      </c>
      <c r="D26" s="745">
        <v>53650401.115479976</v>
      </c>
      <c r="E26" s="733">
        <v>53650401.439999998</v>
      </c>
      <c r="F26" s="733">
        <v>4029090.0599999996</v>
      </c>
      <c r="G26" s="733">
        <v>47610357.609999992</v>
      </c>
      <c r="H26" s="733">
        <f t="shared" si="6"/>
        <v>49179534.653333329</v>
      </c>
      <c r="I26" s="44">
        <f t="shared" si="7"/>
        <v>-1569177.0433333367</v>
      </c>
      <c r="J26" s="330">
        <f t="shared" si="8"/>
        <v>-3.190711450188518E-2</v>
      </c>
      <c r="K26" s="735">
        <f t="shared" si="9"/>
        <v>53650401.439999998</v>
      </c>
    </row>
    <row r="27" spans="1:11" ht="12.75" customHeight="1" x14ac:dyDescent="0.25">
      <c r="A27" s="86" t="s">
        <v>611</v>
      </c>
      <c r="B27" s="421"/>
      <c r="C27" s="748">
        <v>567918578</v>
      </c>
      <c r="D27" s="745">
        <v>123904143.27200001</v>
      </c>
      <c r="E27" s="733">
        <v>123904143.27200001</v>
      </c>
      <c r="F27" s="733">
        <v>1777203.69</v>
      </c>
      <c r="G27" s="733">
        <v>91118044.349999994</v>
      </c>
      <c r="H27" s="733">
        <f t="shared" si="6"/>
        <v>113578797.99933335</v>
      </c>
      <c r="I27" s="44">
        <f t="shared" si="7"/>
        <v>-22460753.649333358</v>
      </c>
      <c r="J27" s="330">
        <f t="shared" si="8"/>
        <v>-0.19775481027246997</v>
      </c>
      <c r="K27" s="735">
        <f t="shared" si="9"/>
        <v>123904143.27200001</v>
      </c>
    </row>
    <row r="28" spans="1:11" ht="12.75" customHeight="1" x14ac:dyDescent="0.25">
      <c r="A28" s="86" t="s">
        <v>664</v>
      </c>
      <c r="B28" s="421"/>
      <c r="C28" s="748">
        <v>417614093.69000024</v>
      </c>
      <c r="D28" s="745">
        <v>489941448.27473986</v>
      </c>
      <c r="E28" s="733">
        <v>482441449.27473998</v>
      </c>
      <c r="F28" s="733">
        <v>36077072.469999984</v>
      </c>
      <c r="G28" s="733">
        <v>388217050.96000016</v>
      </c>
      <c r="H28" s="733">
        <f t="shared" si="6"/>
        <v>442237995.16851163</v>
      </c>
      <c r="I28" s="44">
        <f t="shared" si="7"/>
        <v>-54020944.208511472</v>
      </c>
      <c r="J28" s="330">
        <f t="shared" si="8"/>
        <v>-0.12215355713144271</v>
      </c>
      <c r="K28" s="735">
        <f t="shared" si="9"/>
        <v>482441449.27473998</v>
      </c>
    </row>
    <row r="29" spans="1:11" ht="12.75" customHeight="1" x14ac:dyDescent="0.25">
      <c r="A29" s="86" t="s">
        <v>452</v>
      </c>
      <c r="B29" s="421"/>
      <c r="C29" s="748">
        <v>43716970</v>
      </c>
      <c r="D29" s="745">
        <v>31793212.220000003</v>
      </c>
      <c r="E29" s="733">
        <v>36505334.219999969</v>
      </c>
      <c r="F29" s="733">
        <v>334317.39</v>
      </c>
      <c r="G29" s="733">
        <v>33216515.189999998</v>
      </c>
      <c r="H29" s="733">
        <f t="shared" si="6"/>
        <v>33463223.03499997</v>
      </c>
      <c r="I29" s="44">
        <f t="shared" si="7"/>
        <v>-246707.84499997273</v>
      </c>
      <c r="J29" s="330">
        <f t="shared" si="8"/>
        <v>-7.3725069680806062E-3</v>
      </c>
      <c r="K29" s="735">
        <f t="shared" si="9"/>
        <v>36505334.219999969</v>
      </c>
    </row>
    <row r="30" spans="1:11" ht="12.75" customHeight="1" x14ac:dyDescent="0.25">
      <c r="A30" s="86" t="s">
        <v>844</v>
      </c>
      <c r="B30" s="421"/>
      <c r="C30" s="748">
        <v>1755899645.74</v>
      </c>
      <c r="D30" s="745">
        <v>2608224084.5041752</v>
      </c>
      <c r="E30" s="733">
        <v>2551671974.5041752</v>
      </c>
      <c r="F30" s="733">
        <v>190383047.20999998</v>
      </c>
      <c r="G30" s="733">
        <v>2359269083.5100002</v>
      </c>
      <c r="H30" s="733">
        <f t="shared" si="6"/>
        <v>2339032643.2954936</v>
      </c>
      <c r="I30" s="44">
        <f t="shared" si="7"/>
        <v>20236440.214506626</v>
      </c>
      <c r="J30" s="330">
        <f t="shared" si="8"/>
        <v>8.6516279593239209E-3</v>
      </c>
      <c r="K30" s="735">
        <f t="shared" si="9"/>
        <v>2551671974.5041752</v>
      </c>
    </row>
    <row r="31" spans="1:11" ht="12.75" customHeight="1" x14ac:dyDescent="0.25">
      <c r="A31" s="86" t="s">
        <v>920</v>
      </c>
      <c r="B31" s="421"/>
      <c r="C31" s="748">
        <v>792388542.00999999</v>
      </c>
      <c r="D31" s="745">
        <v>46613414.686963424</v>
      </c>
      <c r="E31" s="733">
        <v>66137657.143800952</v>
      </c>
      <c r="F31" s="733">
        <v>6020366.4900000002</v>
      </c>
      <c r="G31" s="733">
        <v>48730610.189999983</v>
      </c>
      <c r="H31" s="733">
        <f t="shared" si="6"/>
        <v>60626185.71515087</v>
      </c>
      <c r="I31" s="44">
        <f t="shared" si="7"/>
        <v>-11895575.525150888</v>
      </c>
      <c r="J31" s="330">
        <f t="shared" si="8"/>
        <v>-0.19621184121728621</v>
      </c>
      <c r="K31" s="735">
        <f t="shared" si="9"/>
        <v>66137657.143800952</v>
      </c>
    </row>
    <row r="32" spans="1:11" ht="12.75" customHeight="1" x14ac:dyDescent="0.25">
      <c r="A32" s="86" t="s">
        <v>845</v>
      </c>
      <c r="B32" s="421"/>
      <c r="C32" s="748">
        <v>31504387.066664875</v>
      </c>
      <c r="D32" s="745">
        <v>464722594.2633999</v>
      </c>
      <c r="E32" s="733">
        <v>636216030.0508498</v>
      </c>
      <c r="F32" s="733">
        <v>49095332.270000003</v>
      </c>
      <c r="G32" s="733">
        <v>452194182.38999975</v>
      </c>
      <c r="H32" s="733">
        <f t="shared" si="6"/>
        <v>583198027.54661226</v>
      </c>
      <c r="I32" s="44">
        <f t="shared" si="7"/>
        <v>-131003845.15661252</v>
      </c>
      <c r="J32" s="330">
        <f t="shared" si="8"/>
        <v>-0.22463012384955638</v>
      </c>
      <c r="K32" s="735">
        <f t="shared" si="9"/>
        <v>636216030.0508498</v>
      </c>
    </row>
    <row r="33" spans="1:12" ht="12.75" customHeight="1" x14ac:dyDescent="0.25">
      <c r="A33" s="517" t="s">
        <v>1118</v>
      </c>
      <c r="B33" s="421"/>
      <c r="C33" s="748">
        <v>25306678</v>
      </c>
      <c r="D33" s="745">
        <v>25080461.44304001</v>
      </c>
      <c r="E33" s="733">
        <v>59680462</v>
      </c>
      <c r="F33" s="733">
        <v>3069594.4399999995</v>
      </c>
      <c r="G33" s="733">
        <v>42782679.439999998</v>
      </c>
      <c r="H33" s="733">
        <f t="shared" si="6"/>
        <v>54707090.166666664</v>
      </c>
      <c r="I33" s="44">
        <f t="shared" si="7"/>
        <v>-11924410.726666667</v>
      </c>
      <c r="J33" s="330">
        <f t="shared" si="8"/>
        <v>-0.21796828693207076</v>
      </c>
      <c r="K33" s="735">
        <f t="shared" si="9"/>
        <v>59680462</v>
      </c>
    </row>
    <row r="34" spans="1:12" ht="12.75" customHeight="1" x14ac:dyDescent="0.25">
      <c r="A34" s="86" t="s">
        <v>434</v>
      </c>
      <c r="B34" s="421"/>
      <c r="C34" s="748">
        <v>495112178.04333192</v>
      </c>
      <c r="D34" s="745">
        <v>194223408.19064996</v>
      </c>
      <c r="E34" s="733">
        <v>188215605.26623628</v>
      </c>
      <c r="F34" s="733">
        <v>-3114827.090000011</v>
      </c>
      <c r="G34" s="733">
        <v>132477471.36000006</v>
      </c>
      <c r="H34" s="733">
        <f t="shared" si="6"/>
        <v>172530971.49404991</v>
      </c>
      <c r="I34" s="44">
        <f t="shared" si="7"/>
        <v>-40053500.134049848</v>
      </c>
      <c r="J34" s="330">
        <f t="shared" si="8"/>
        <v>-0.23215252187594143</v>
      </c>
      <c r="K34" s="735">
        <f t="shared" si="9"/>
        <v>188215605.26623628</v>
      </c>
    </row>
    <row r="35" spans="1:12" ht="12.75" customHeight="1" x14ac:dyDescent="0.25">
      <c r="A35" s="990" t="s">
        <v>1370</v>
      </c>
      <c r="B35" s="419"/>
      <c r="C35" s="748">
        <v>47941458</v>
      </c>
      <c r="D35" s="745"/>
      <c r="E35" s="733">
        <v>70000</v>
      </c>
      <c r="F35" s="733"/>
      <c r="G35" s="733"/>
      <c r="H35" s="733">
        <f t="shared" si="6"/>
        <v>64166.666666666664</v>
      </c>
      <c r="I35" s="44">
        <f t="shared" si="7"/>
        <v>-64166.666666666664</v>
      </c>
      <c r="J35" s="330">
        <f t="shared" si="8"/>
        <v>-1</v>
      </c>
      <c r="K35" s="735">
        <f t="shared" si="9"/>
        <v>70000</v>
      </c>
    </row>
    <row r="36" spans="1:12" ht="12.75" customHeight="1" x14ac:dyDescent="0.25">
      <c r="A36" s="92" t="s">
        <v>488</v>
      </c>
      <c r="B36" s="422"/>
      <c r="C36" s="243">
        <f t="shared" ref="C36:K36" si="10">SUM(C25:C35)</f>
        <v>5566648837.5499973</v>
      </c>
      <c r="D36" s="74">
        <f>SUM(D25:D35)</f>
        <v>5516477469.5446281</v>
      </c>
      <c r="E36" s="73">
        <f>SUM(E25:E35)</f>
        <v>5673151027.4213114</v>
      </c>
      <c r="F36" s="73">
        <f t="shared" si="10"/>
        <v>393727535.92999989</v>
      </c>
      <c r="G36" s="73">
        <f t="shared" si="10"/>
        <v>4830298861.8999996</v>
      </c>
      <c r="H36" s="73">
        <f t="shared" si="10"/>
        <v>5200388441.8028688</v>
      </c>
      <c r="I36" s="73">
        <f t="shared" si="7"/>
        <v>-370089579.90286922</v>
      </c>
      <c r="J36" s="331">
        <f t="shared" si="8"/>
        <v>-7.1165756951526243E-2</v>
      </c>
      <c r="K36" s="145">
        <f t="shared" si="10"/>
        <v>5673151027.4213114</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11">C22-C36</f>
        <v>-206718416.12999725</v>
      </c>
      <c r="D38" s="51">
        <f t="shared" si="11"/>
        <v>401332788.32743359</v>
      </c>
      <c r="E38" s="50">
        <f t="shared" si="11"/>
        <v>389267677.45075035</v>
      </c>
      <c r="F38" s="50">
        <f t="shared" si="11"/>
        <v>3760637.2900001407</v>
      </c>
      <c r="G38" s="50">
        <f t="shared" si="11"/>
        <v>349547126.14000034</v>
      </c>
      <c r="H38" s="50">
        <f t="shared" si="11"/>
        <v>356828704.32985401</v>
      </c>
      <c r="I38" s="102">
        <f>I22-I36</f>
        <v>-7281578.1898536682</v>
      </c>
      <c r="J38" s="102">
        <f t="shared" si="8"/>
        <v>-2.0406368942568438E-2</v>
      </c>
      <c r="K38" s="194">
        <f>K22-K36</f>
        <v>389267677.45075035</v>
      </c>
    </row>
    <row r="39" spans="1:12" ht="19.899999999999999" customHeight="1" x14ac:dyDescent="0.25">
      <c r="A39" s="937" t="s">
        <v>1119</v>
      </c>
      <c r="B39" s="419"/>
      <c r="C39" s="748">
        <v>430113748.5</v>
      </c>
      <c r="D39" s="745">
        <v>525891580.99999982</v>
      </c>
      <c r="E39" s="733">
        <v>526485334.99999982</v>
      </c>
      <c r="F39" s="733">
        <v>31935900.780000001</v>
      </c>
      <c r="G39" s="733">
        <v>408514243.01999998</v>
      </c>
      <c r="H39" s="733">
        <f>E39/12*11</f>
        <v>482611557.08333313</v>
      </c>
      <c r="I39" s="47">
        <f>G39-H39</f>
        <v>-74097314.063333154</v>
      </c>
      <c r="J39" s="102">
        <f t="shared" si="8"/>
        <v>-0.15353406476865344</v>
      </c>
      <c r="K39" s="735">
        <f>E39</f>
        <v>526485334.99999982</v>
      </c>
    </row>
    <row r="40" spans="1:12" ht="39.6" customHeight="1" x14ac:dyDescent="0.25">
      <c r="A40" s="937" t="s">
        <v>1120</v>
      </c>
      <c r="B40" s="419"/>
      <c r="C40" s="748"/>
      <c r="D40" s="745"/>
      <c r="E40" s="733"/>
      <c r="F40" s="733"/>
      <c r="G40" s="733"/>
      <c r="H40" s="733"/>
      <c r="I40" s="47">
        <f>G40-H40</f>
        <v>0</v>
      </c>
      <c r="J40" s="102" t="str">
        <f t="shared" si="8"/>
        <v/>
      </c>
      <c r="K40" s="735"/>
    </row>
    <row r="41" spans="1:12" ht="12.75" customHeight="1" x14ac:dyDescent="0.25">
      <c r="A41" s="518" t="s">
        <v>1121</v>
      </c>
      <c r="B41" s="419"/>
      <c r="C41" s="749"/>
      <c r="D41" s="750"/>
      <c r="E41" s="751"/>
      <c r="F41" s="751"/>
      <c r="G41" s="751"/>
      <c r="H41" s="751"/>
      <c r="I41" s="47">
        <f>G41-H41</f>
        <v>0</v>
      </c>
      <c r="J41" s="102" t="str">
        <f t="shared" si="8"/>
        <v/>
      </c>
      <c r="K41" s="752"/>
    </row>
    <row r="42" spans="1:12" ht="25.5" x14ac:dyDescent="0.25">
      <c r="A42" s="250" t="s">
        <v>752</v>
      </c>
      <c r="B42" s="521"/>
      <c r="C42" s="252">
        <f t="shared" ref="C42:H42" si="12">C38+SUM(C39:C41)</f>
        <v>223395332.37000275</v>
      </c>
      <c r="D42" s="253">
        <f t="shared" si="12"/>
        <v>927224369.32743335</v>
      </c>
      <c r="E42" s="254">
        <f t="shared" si="12"/>
        <v>915753012.45075011</v>
      </c>
      <c r="F42" s="254">
        <f t="shared" si="12"/>
        <v>35696538.070000142</v>
      </c>
      <c r="G42" s="254">
        <f t="shared" si="12"/>
        <v>758061369.16000032</v>
      </c>
      <c r="H42" s="254">
        <f t="shared" si="12"/>
        <v>839440261.41318715</v>
      </c>
      <c r="I42" s="329"/>
      <c r="J42" s="329"/>
      <c r="K42" s="255">
        <f>K38+SUM(K39:K41)</f>
        <v>915753012.45075011</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3">C42-C43</f>
        <v>223395332.37000275</v>
      </c>
      <c r="D44" s="51">
        <f t="shared" si="13"/>
        <v>927224369.32743335</v>
      </c>
      <c r="E44" s="50">
        <f t="shared" si="13"/>
        <v>915753012.45075011</v>
      </c>
      <c r="F44" s="50">
        <f t="shared" si="13"/>
        <v>35696538.070000142</v>
      </c>
      <c r="G44" s="50">
        <f t="shared" si="13"/>
        <v>758061369.16000032</v>
      </c>
      <c r="H44" s="50">
        <f t="shared" si="13"/>
        <v>839440261.41318715</v>
      </c>
      <c r="I44" s="327"/>
      <c r="J44" s="327"/>
      <c r="K44" s="194">
        <f>K42-K43</f>
        <v>915753012.45075011</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4">SUM(C44:C45)</f>
        <v>223395332.37000275</v>
      </c>
      <c r="D46" s="530">
        <f t="shared" si="14"/>
        <v>927224369.32743335</v>
      </c>
      <c r="E46" s="528">
        <f t="shared" si="14"/>
        <v>915753012.45075011</v>
      </c>
      <c r="F46" s="528">
        <f t="shared" si="14"/>
        <v>35696538.070000142</v>
      </c>
      <c r="G46" s="528">
        <f t="shared" si="14"/>
        <v>758061369.16000032</v>
      </c>
      <c r="H46" s="528">
        <f t="shared" si="14"/>
        <v>839440261.41318715</v>
      </c>
      <c r="I46" s="273"/>
      <c r="J46" s="273"/>
      <c r="K46" s="529">
        <f>SUM(K44:K45)</f>
        <v>915753012.45075011</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5">C46+C47</f>
        <v>223395332.37000275</v>
      </c>
      <c r="D48" s="77">
        <f t="shared" si="15"/>
        <v>927224369.32743335</v>
      </c>
      <c r="E48" s="76">
        <f t="shared" si="15"/>
        <v>915753012.45075011</v>
      </c>
      <c r="F48" s="76">
        <f t="shared" si="15"/>
        <v>35696538.070000142</v>
      </c>
      <c r="G48" s="76">
        <f t="shared" si="15"/>
        <v>758061369.16000032</v>
      </c>
      <c r="H48" s="76">
        <f t="shared" si="15"/>
        <v>839440261.41318715</v>
      </c>
      <c r="I48" s="334"/>
      <c r="J48" s="334"/>
      <c r="K48" s="234">
        <f>K46+K47</f>
        <v>915753012.45075011</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6">C22+SUM(C39:C41)</f>
        <v>5790044169.9200001</v>
      </c>
      <c r="D53" s="62">
        <f t="shared" si="16"/>
        <v>6443701838.8720617</v>
      </c>
      <c r="E53" s="62">
        <f t="shared" si="16"/>
        <v>6588904039.8720617</v>
      </c>
      <c r="F53" s="62">
        <f t="shared" si="16"/>
        <v>429424074</v>
      </c>
      <c r="G53" s="62">
        <f t="shared" si="16"/>
        <v>5588360231.0599995</v>
      </c>
      <c r="H53" s="62">
        <f t="shared" si="16"/>
        <v>6039828703.2160559</v>
      </c>
      <c r="I53" s="62"/>
      <c r="J53" s="62"/>
      <c r="K53" s="62">
        <f>K22+SUM(K39:K41)</f>
        <v>6588904039.8720617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44" activePane="bottomRight" state="frozen"/>
      <selection pane="topRight"/>
      <selection pane="bottomLeft"/>
      <selection pane="bottomRight" activeCell="C72" sqref="C72:C73"/>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47" t="str">
        <f>muni&amp; " - "&amp;S71D&amp; " - "&amp;date</f>
        <v>KZN225 Msunduzi - Table C5 Consolidated Monthly Budget Statement - Capital Expenditure (municipal vote, functional classification and funding  - M11 May</v>
      </c>
      <c r="B1" s="1047"/>
      <c r="C1" s="1047"/>
      <c r="D1" s="1047"/>
      <c r="E1" s="1047"/>
      <c r="F1" s="1047"/>
      <c r="G1" s="1047"/>
      <c r="H1" s="1047"/>
      <c r="I1" s="1047"/>
      <c r="J1" s="1047"/>
      <c r="K1" s="1047"/>
    </row>
    <row r="2" spans="1:12" x14ac:dyDescent="0.25">
      <c r="A2" s="1045" t="str">
        <f>Vdesc</f>
        <v>Vote Description</v>
      </c>
      <c r="B2" s="1054" t="str">
        <f>head27</f>
        <v>Ref</v>
      </c>
      <c r="C2" s="139" t="str">
        <f>Head1</f>
        <v>2019/20</v>
      </c>
      <c r="D2" s="245" t="str">
        <f>Head2</f>
        <v>Budget Year 2020/21</v>
      </c>
      <c r="E2" s="229"/>
      <c r="F2" s="229"/>
      <c r="G2" s="229"/>
      <c r="H2" s="229"/>
      <c r="I2" s="229"/>
      <c r="J2" s="229"/>
      <c r="K2" s="230"/>
    </row>
    <row r="3" spans="1:12" ht="25.5" x14ac:dyDescent="0.25">
      <c r="A3" s="1046"/>
      <c r="B3" s="105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646307</v>
      </c>
      <c r="D6" s="532">
        <f>'C5C'!D7</f>
        <v>3800000</v>
      </c>
      <c r="E6" s="47">
        <f>'C5C'!E7</f>
        <v>2300000</v>
      </c>
      <c r="F6" s="47">
        <f>'C5C'!F7</f>
        <v>0</v>
      </c>
      <c r="G6" s="47">
        <f>'C5C'!G7</f>
        <v>0</v>
      </c>
      <c r="H6" s="47">
        <f>'C5C'!H7</f>
        <v>2108333.333333333</v>
      </c>
      <c r="I6" s="44">
        <f>G6-H6</f>
        <v>-2108333.333333333</v>
      </c>
      <c r="J6" s="330">
        <f>IF(I6=0,"",I6/H6)</f>
        <v>-1</v>
      </c>
      <c r="K6" s="144">
        <f>'C5C'!K7</f>
        <v>2300000</v>
      </c>
      <c r="L6" s="100"/>
    </row>
    <row r="7" spans="1:12" ht="13.5" customHeight="1" x14ac:dyDescent="0.25">
      <c r="A7" s="407" t="str">
        <f>'Org structure'!A3</f>
        <v>Vote 2 - City Finance</v>
      </c>
      <c r="B7" s="419"/>
      <c r="C7" s="648">
        <f>'C5C'!C12</f>
        <v>9184603</v>
      </c>
      <c r="D7" s="670">
        <f>'C5C'!D12</f>
        <v>12500000</v>
      </c>
      <c r="E7" s="408">
        <f>'C5C'!E12</f>
        <v>4720000</v>
      </c>
      <c r="F7" s="408">
        <f>'C5C'!F12</f>
        <v>1990.02</v>
      </c>
      <c r="G7" s="408">
        <f>'C5C'!G12</f>
        <v>207922.75999999998</v>
      </c>
      <c r="H7" s="408">
        <f>'C5C'!H12</f>
        <v>4326666.666666666</v>
      </c>
      <c r="I7" s="44">
        <f>G7-H7</f>
        <v>-4118743.9066666663</v>
      </c>
      <c r="J7" s="330">
        <f>IF(I7=0,"",I7/H7)</f>
        <v>-0.95194389214175656</v>
      </c>
      <c r="K7" s="642">
        <f>'C5C'!K12</f>
        <v>4720000</v>
      </c>
      <c r="L7" s="100"/>
    </row>
    <row r="8" spans="1:12" ht="13.5" customHeight="1" x14ac:dyDescent="0.25">
      <c r="A8" s="407" t="str">
        <f>'Org structure'!A4</f>
        <v>Vote 3 - Community Services and Social Equity</v>
      </c>
      <c r="B8" s="419"/>
      <c r="C8" s="648">
        <f>'C5C'!C18</f>
        <v>12745198</v>
      </c>
      <c r="D8" s="670">
        <f>'C5C'!D18</f>
        <v>23812425</v>
      </c>
      <c r="E8" s="408">
        <f>'C5C'!E18</f>
        <v>46120040</v>
      </c>
      <c r="F8" s="408">
        <f>'C5C'!F18</f>
        <v>916522.3</v>
      </c>
      <c r="G8" s="408">
        <f>'C5C'!G18</f>
        <v>12162802.280000001</v>
      </c>
      <c r="H8" s="408">
        <f>'C5C'!H18</f>
        <v>42276703.333333336</v>
      </c>
      <c r="I8" s="44">
        <f t="shared" ref="I8:I17" si="0">G8-H8</f>
        <v>-30113901.053333335</v>
      </c>
      <c r="J8" s="330">
        <f t="shared" ref="J8:J17" si="1">IF(I8=0,"",I8/H8)</f>
        <v>-0.71230485536912325</v>
      </c>
      <c r="K8" s="642">
        <f>'C5C'!K18</f>
        <v>46120040</v>
      </c>
      <c r="L8" s="697"/>
    </row>
    <row r="9" spans="1:12" ht="13.5" customHeight="1" x14ac:dyDescent="0.25">
      <c r="A9" s="407" t="str">
        <f>'Org structure'!A5</f>
        <v>Vote 4 - Corporate Services</v>
      </c>
      <c r="B9" s="419"/>
      <c r="C9" s="648">
        <f>'C5C'!C23</f>
        <v>-6912874</v>
      </c>
      <c r="D9" s="670">
        <f>'C5C'!D23</f>
        <v>0</v>
      </c>
      <c r="E9" s="408">
        <f>'C5C'!E23</f>
        <v>1970000</v>
      </c>
      <c r="F9" s="408">
        <f>'C5C'!F23</f>
        <v>0</v>
      </c>
      <c r="G9" s="408">
        <f>'C5C'!G23</f>
        <v>0</v>
      </c>
      <c r="H9" s="408">
        <f>'C5C'!H23</f>
        <v>1805833.3333333333</v>
      </c>
      <c r="I9" s="44">
        <f t="shared" si="0"/>
        <v>-1805833.3333333333</v>
      </c>
      <c r="J9" s="330">
        <f t="shared" si="1"/>
        <v>-1</v>
      </c>
      <c r="K9" s="642">
        <f>'C5C'!K23</f>
        <v>1970000</v>
      </c>
      <c r="L9" s="697"/>
    </row>
    <row r="10" spans="1:12" ht="13.5" customHeight="1" x14ac:dyDescent="0.25">
      <c r="A10" s="407" t="str">
        <f>'Org structure'!A6</f>
        <v>Vote 5 - Infrastructure Services</v>
      </c>
      <c r="B10" s="419"/>
      <c r="C10" s="648">
        <f>'C5C'!C29</f>
        <v>354424144.07999998</v>
      </c>
      <c r="D10" s="670">
        <f>'C5C'!D29</f>
        <v>168455000</v>
      </c>
      <c r="E10" s="408">
        <f>'C5C'!E29</f>
        <v>7780000</v>
      </c>
      <c r="F10" s="408">
        <f>'C5C'!F29</f>
        <v>26357822.189999998</v>
      </c>
      <c r="G10" s="408">
        <f>'C5C'!G29</f>
        <v>319202566.37</v>
      </c>
      <c r="H10" s="408">
        <f>'C5C'!H29</f>
        <v>7131666.666666667</v>
      </c>
      <c r="I10" s="44">
        <f t="shared" si="0"/>
        <v>312070899.70333332</v>
      </c>
      <c r="J10" s="330">
        <f t="shared" si="1"/>
        <v>43.758480911895298</v>
      </c>
      <c r="K10" s="642">
        <f>'C5C'!K29</f>
        <v>7780000</v>
      </c>
      <c r="L10" s="697"/>
    </row>
    <row r="11" spans="1:12" ht="13.5" customHeight="1" x14ac:dyDescent="0.25">
      <c r="A11" s="407" t="str">
        <f>'Org structure'!A7</f>
        <v>Vote 6 - Sustainable Development and City Enterprises</v>
      </c>
      <c r="B11" s="419"/>
      <c r="C11" s="648">
        <f>'C5C'!C35</f>
        <v>109767844.09</v>
      </c>
      <c r="D11" s="670">
        <f>'C5C'!D35</f>
        <v>300600156</v>
      </c>
      <c r="E11" s="408">
        <f>'C5C'!E35</f>
        <v>319509531.77999997</v>
      </c>
      <c r="F11" s="408">
        <f>'C5C'!F35</f>
        <v>3185552.7600000002</v>
      </c>
      <c r="G11" s="408">
        <f>'C5C'!G35</f>
        <v>50252282.710000001</v>
      </c>
      <c r="H11" s="408">
        <f>'C5C'!H35</f>
        <v>292883737.46499997</v>
      </c>
      <c r="I11" s="44">
        <f t="shared" si="0"/>
        <v>-242631454.75499997</v>
      </c>
      <c r="J11" s="330">
        <f t="shared" si="1"/>
        <v>-0.82842242063369864</v>
      </c>
      <c r="K11" s="642">
        <f>'C5C'!K35</f>
        <v>319509531.77999997</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479855222.16999996</v>
      </c>
      <c r="D21" s="544">
        <f t="shared" ref="D21:I21" si="2">SUM(D6:D20)</f>
        <v>509167581</v>
      </c>
      <c r="E21" s="430">
        <f t="shared" si="2"/>
        <v>382399571.77999997</v>
      </c>
      <c r="F21" s="430">
        <f t="shared" si="2"/>
        <v>30461887.27</v>
      </c>
      <c r="G21" s="430">
        <f t="shared" si="2"/>
        <v>381825574.12</v>
      </c>
      <c r="H21" s="430">
        <f t="shared" si="2"/>
        <v>350532940.79833329</v>
      </c>
      <c r="I21" s="430">
        <f t="shared" si="2"/>
        <v>31292633.321666688</v>
      </c>
      <c r="J21" s="431">
        <f>IF(I21=0,"",I21/H21)</f>
        <v>8.9271590996264735E-2</v>
      </c>
      <c r="K21" s="513">
        <f>SUM(K6:K20)</f>
        <v>382399571.77999997</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1500000</v>
      </c>
      <c r="F24" s="44">
        <f>'C5C'!F149</f>
        <v>0</v>
      </c>
      <c r="G24" s="44">
        <f>'C5C'!G149</f>
        <v>1409774.98</v>
      </c>
      <c r="H24" s="44">
        <f>'C5C'!H149</f>
        <v>1375000.0000000002</v>
      </c>
      <c r="I24" s="44">
        <f>'C5C'!I149</f>
        <v>34774.979999999749</v>
      </c>
      <c r="J24" s="330">
        <f>IF(I24=0,"",I24/H24)</f>
        <v>2.529089454545436E-2</v>
      </c>
      <c r="K24" s="144">
        <f>'C5C'!K149</f>
        <v>1500000</v>
      </c>
      <c r="L24" s="100"/>
    </row>
    <row r="25" spans="1:12" ht="12.75" customHeight="1" x14ac:dyDescent="0.25">
      <c r="A25" s="407" t="str">
        <f>'Org structure'!A3</f>
        <v>Vote 2 - City Finance</v>
      </c>
      <c r="B25" s="419"/>
      <c r="C25" s="134">
        <f>'C5C'!C160</f>
        <v>0</v>
      </c>
      <c r="D25" s="258">
        <f>'C5C'!D160</f>
        <v>15000000</v>
      </c>
      <c r="E25" s="44">
        <f>'C5C'!E160</f>
        <v>27914416</v>
      </c>
      <c r="F25" s="44">
        <f>'C5C'!F160</f>
        <v>2039884.32</v>
      </c>
      <c r="G25" s="44">
        <f>'C5C'!G160</f>
        <v>3239324.8899999997</v>
      </c>
      <c r="H25" s="44">
        <f>'C5C'!H160</f>
        <v>25588214.666666668</v>
      </c>
      <c r="I25" s="44">
        <f>'C5C'!I160</f>
        <v>-22348889.776666667</v>
      </c>
      <c r="J25" s="330">
        <f t="shared" ref="J25:J39" si="3">IF(I25=0,"",I25/H25)</f>
        <v>-0.87340559190243883</v>
      </c>
      <c r="K25" s="144">
        <f>'C5C'!K160</f>
        <v>27914416</v>
      </c>
      <c r="L25" s="100"/>
    </row>
    <row r="26" spans="1:12" ht="12.75" customHeight="1" x14ac:dyDescent="0.25">
      <c r="A26" s="407" t="str">
        <f>'Org structure'!A4</f>
        <v>Vote 3 - Community Services and Social Equity</v>
      </c>
      <c r="B26" s="419"/>
      <c r="C26" s="134">
        <f>'C5C'!C171</f>
        <v>0</v>
      </c>
      <c r="D26" s="258">
        <f>'C5C'!D171</f>
        <v>13700000</v>
      </c>
      <c r="E26" s="44">
        <f>'C5C'!E171</f>
        <v>19124760</v>
      </c>
      <c r="F26" s="44">
        <f>'C5C'!F171</f>
        <v>119507.93</v>
      </c>
      <c r="G26" s="44">
        <f>'C5C'!G171</f>
        <v>17016734.060000002</v>
      </c>
      <c r="H26" s="44">
        <f>'C5C'!H171</f>
        <v>17531030</v>
      </c>
      <c r="I26" s="44">
        <f>'C5C'!I171</f>
        <v>-514295.93999999762</v>
      </c>
      <c r="J26" s="330">
        <f t="shared" si="3"/>
        <v>-2.9336321938870542E-2</v>
      </c>
      <c r="K26" s="144">
        <f>'C5C'!K171</f>
        <v>19124760</v>
      </c>
      <c r="L26" s="697"/>
    </row>
    <row r="27" spans="1:12" ht="12.75" customHeight="1" x14ac:dyDescent="0.25">
      <c r="A27" s="407" t="str">
        <f>'Org structure'!A5</f>
        <v>Vote 4 - Corporate Services</v>
      </c>
      <c r="B27" s="419"/>
      <c r="C27" s="134">
        <f>'C5C'!C182</f>
        <v>0</v>
      </c>
      <c r="D27" s="258">
        <f>'C5C'!D182</f>
        <v>0</v>
      </c>
      <c r="E27" s="44">
        <f>'C5C'!E182</f>
        <v>530000</v>
      </c>
      <c r="F27" s="44">
        <f>'C5C'!F182</f>
        <v>353977.97000000003</v>
      </c>
      <c r="G27" s="44">
        <f>'C5C'!G182</f>
        <v>475363.80000000005</v>
      </c>
      <c r="H27" s="44">
        <f>'C5C'!H182</f>
        <v>485833.33333333331</v>
      </c>
      <c r="I27" s="44">
        <f>'C5C'!I182</f>
        <v>-10469.533333333267</v>
      </c>
      <c r="J27" s="330">
        <f t="shared" si="3"/>
        <v>-2.1549639794167959E-2</v>
      </c>
      <c r="K27" s="144">
        <f>'C5C'!K182</f>
        <v>530000</v>
      </c>
      <c r="L27" s="697"/>
    </row>
    <row r="28" spans="1:12" ht="12.75" customHeight="1" x14ac:dyDescent="0.25">
      <c r="A28" s="407" t="str">
        <f>'Org structure'!A6</f>
        <v>Vote 5 - Infrastructure Services</v>
      </c>
      <c r="B28" s="419"/>
      <c r="C28" s="134">
        <f>'C5C'!C193</f>
        <v>0</v>
      </c>
      <c r="D28" s="258">
        <f>'C5C'!D193</f>
        <v>33000000</v>
      </c>
      <c r="E28" s="44">
        <f>'C5C'!E193</f>
        <v>310123978</v>
      </c>
      <c r="F28" s="44">
        <f>'C5C'!F193</f>
        <v>1158438.3500000001</v>
      </c>
      <c r="G28" s="44">
        <f>'C5C'!G193</f>
        <v>10019494.700000001</v>
      </c>
      <c r="H28" s="44">
        <f>'C5C'!H193</f>
        <v>284280313.16666669</v>
      </c>
      <c r="I28" s="44">
        <f>'C5C'!I193</f>
        <v>-274260818.4666667</v>
      </c>
      <c r="J28" s="330">
        <f t="shared" si="3"/>
        <v>-0.96475487666243775</v>
      </c>
      <c r="K28" s="144">
        <f>'C5C'!K193</f>
        <v>310123978</v>
      </c>
      <c r="L28" s="697"/>
    </row>
    <row r="29" spans="1:12" ht="12.75" customHeight="1" x14ac:dyDescent="0.25">
      <c r="A29" s="407" t="str">
        <f>'Org structure'!A7</f>
        <v>Vote 6 - Sustainable Development and City Enterprises</v>
      </c>
      <c r="B29" s="419"/>
      <c r="C29" s="134">
        <f>'C5C'!C204</f>
        <v>0</v>
      </c>
      <c r="D29" s="258">
        <f>'C5C'!D204</f>
        <v>10024000</v>
      </c>
      <c r="E29" s="44">
        <f>'C5C'!E204</f>
        <v>5597634</v>
      </c>
      <c r="F29" s="44">
        <f>'C5C'!F204</f>
        <v>1092562.81</v>
      </c>
      <c r="G29" s="44">
        <f>'C5C'!G204</f>
        <v>6506511.580000001</v>
      </c>
      <c r="H29" s="44">
        <f>'C5C'!H204</f>
        <v>5131164.5</v>
      </c>
      <c r="I29" s="44">
        <f>'C5C'!I204</f>
        <v>1375347.080000001</v>
      </c>
      <c r="J29" s="330">
        <f t="shared" si="3"/>
        <v>0.2680380018999588</v>
      </c>
      <c r="K29" s="144">
        <f>'C5C'!K204</f>
        <v>5597634</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364790788</v>
      </c>
      <c r="F39" s="161">
        <f t="shared" si="4"/>
        <v>4764371.3800000008</v>
      </c>
      <c r="G39" s="161">
        <f t="shared" si="4"/>
        <v>38667204.009999998</v>
      </c>
      <c r="H39" s="161">
        <f t="shared" si="4"/>
        <v>334391555.66666669</v>
      </c>
      <c r="I39" s="73">
        <f t="shared" si="4"/>
        <v>-295724351.6566667</v>
      </c>
      <c r="J39" s="331">
        <f t="shared" si="3"/>
        <v>-0.88436548903601853</v>
      </c>
      <c r="K39" s="263">
        <f>SUM(K24:K38)</f>
        <v>364790788</v>
      </c>
      <c r="L39" s="100"/>
    </row>
    <row r="40" spans="1:12" ht="12.75" customHeight="1" x14ac:dyDescent="0.25">
      <c r="A40" s="92" t="s">
        <v>761</v>
      </c>
      <c r="B40" s="422"/>
      <c r="C40" s="243">
        <f t="shared" ref="C40:I40" si="5">C39+C21</f>
        <v>479855222.16999996</v>
      </c>
      <c r="D40" s="260">
        <f t="shared" si="5"/>
        <v>580891581</v>
      </c>
      <c r="E40" s="73">
        <f t="shared" si="5"/>
        <v>747190359.77999997</v>
      </c>
      <c r="F40" s="73">
        <f t="shared" si="5"/>
        <v>35226258.649999999</v>
      </c>
      <c r="G40" s="73">
        <f t="shared" si="5"/>
        <v>420492778.13</v>
      </c>
      <c r="H40" s="73">
        <f t="shared" si="5"/>
        <v>684924496.46499991</v>
      </c>
      <c r="I40" s="73">
        <f t="shared" si="5"/>
        <v>-264431718.33500001</v>
      </c>
      <c r="J40" s="331">
        <f>IF(I40=0,"",I40/H40)</f>
        <v>-0.38607426030135084</v>
      </c>
      <c r="K40" s="145">
        <f>K39+K21</f>
        <v>747190359.77999997</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2918036</v>
      </c>
      <c r="D43" s="669">
        <f t="shared" si="6"/>
        <v>32500000</v>
      </c>
      <c r="E43" s="637">
        <f t="shared" si="6"/>
        <v>38934416</v>
      </c>
      <c r="F43" s="637">
        <f t="shared" si="6"/>
        <v>2395852.31</v>
      </c>
      <c r="G43" s="637">
        <f t="shared" si="6"/>
        <v>5332386.43</v>
      </c>
      <c r="H43" s="637">
        <f t="shared" si="6"/>
        <v>35689881.333333336</v>
      </c>
      <c r="I43" s="44">
        <f t="shared" ref="I43:I62" si="7">G43-H43</f>
        <v>-30357494.903333336</v>
      </c>
      <c r="J43" s="330">
        <f>IF(I43=0,"",I43/H43)</f>
        <v>-0.85059108546209417</v>
      </c>
      <c r="K43" s="641">
        <f>SUM(K44:K46)</f>
        <v>38934416</v>
      </c>
      <c r="L43" s="100"/>
    </row>
    <row r="44" spans="1:12" ht="12.75" customHeight="1" x14ac:dyDescent="0.25">
      <c r="A44" s="416" t="s">
        <v>108</v>
      </c>
      <c r="B44" s="419"/>
      <c r="C44" s="735">
        <v>646307</v>
      </c>
      <c r="D44" s="753">
        <v>5000000</v>
      </c>
      <c r="E44" s="733">
        <v>3800000</v>
      </c>
      <c r="F44" s="733"/>
      <c r="G44" s="733">
        <v>1409774.98</v>
      </c>
      <c r="H44" s="733">
        <f>E44/12*11</f>
        <v>3483333.3333333335</v>
      </c>
      <c r="I44" s="44">
        <f t="shared" si="7"/>
        <v>-2073558.3533333335</v>
      </c>
      <c r="J44" s="330">
        <f t="shared" ref="J44:J63" si="8">IF(I44=0,"",I44/H44)</f>
        <v>-0.59527991004784686</v>
      </c>
      <c r="K44" s="735">
        <f>E44</f>
        <v>3800000</v>
      </c>
      <c r="L44" s="100"/>
    </row>
    <row r="45" spans="1:12" ht="12.75" customHeight="1" x14ac:dyDescent="0.25">
      <c r="A45" s="416" t="s">
        <v>1123</v>
      </c>
      <c r="B45" s="419"/>
      <c r="C45" s="754">
        <v>2271729</v>
      </c>
      <c r="D45" s="755">
        <v>27500000</v>
      </c>
      <c r="E45" s="756">
        <v>35134416</v>
      </c>
      <c r="F45" s="756">
        <v>2395852.31</v>
      </c>
      <c r="G45" s="756">
        <v>3922611.4499999993</v>
      </c>
      <c r="H45" s="756">
        <f>E45/12*11</f>
        <v>32206548</v>
      </c>
      <c r="I45" s="44">
        <f t="shared" si="7"/>
        <v>-28283936.550000001</v>
      </c>
      <c r="J45" s="330">
        <f t="shared" si="8"/>
        <v>-0.87820453623281824</v>
      </c>
      <c r="K45" s="754">
        <f>E45</f>
        <v>35134416</v>
      </c>
      <c r="L45" s="100"/>
    </row>
    <row r="46" spans="1:12" ht="12.75" customHeight="1" x14ac:dyDescent="0.25">
      <c r="A46" s="416" t="s">
        <v>1134</v>
      </c>
      <c r="B46" s="419"/>
      <c r="C46" s="735"/>
      <c r="D46" s="753"/>
      <c r="E46" s="733"/>
      <c r="F46" s="733"/>
      <c r="G46" s="733"/>
      <c r="H46" s="733"/>
      <c r="I46" s="44">
        <f t="shared" si="7"/>
        <v>0</v>
      </c>
      <c r="J46" s="330" t="str">
        <f t="shared" si="8"/>
        <v/>
      </c>
      <c r="K46" s="735"/>
      <c r="L46" s="100"/>
    </row>
    <row r="47" spans="1:12" ht="12.75" customHeight="1" x14ac:dyDescent="0.25">
      <c r="A47" s="414" t="s">
        <v>109</v>
      </c>
      <c r="B47" s="419"/>
      <c r="C47" s="641">
        <f t="shared" ref="C47:H47" si="9">SUM(C48:C52)</f>
        <v>1454997.7099999278</v>
      </c>
      <c r="D47" s="669">
        <f t="shared" si="9"/>
        <v>324874092</v>
      </c>
      <c r="E47" s="637">
        <f t="shared" si="9"/>
        <v>322085541.77999997</v>
      </c>
      <c r="F47" s="637">
        <f t="shared" si="9"/>
        <v>3269023.04</v>
      </c>
      <c r="G47" s="637">
        <f t="shared" si="9"/>
        <v>60488016.230000004</v>
      </c>
      <c r="H47" s="637">
        <f t="shared" si="9"/>
        <v>295245079.96499997</v>
      </c>
      <c r="I47" s="44">
        <f t="shared" si="7"/>
        <v>-234757063.73499995</v>
      </c>
      <c r="J47" s="330">
        <f t="shared" si="8"/>
        <v>-0.79512608224607639</v>
      </c>
      <c r="K47" s="641">
        <f>SUM(K48:K52)</f>
        <v>322085541.77999997</v>
      </c>
      <c r="L47" s="100"/>
    </row>
    <row r="48" spans="1:12" ht="12.75" customHeight="1" x14ac:dyDescent="0.25">
      <c r="A48" s="416" t="s">
        <v>110</v>
      </c>
      <c r="B48" s="419"/>
      <c r="C48" s="735"/>
      <c r="D48" s="753">
        <v>45972000</v>
      </c>
      <c r="E48" s="733">
        <v>37482375</v>
      </c>
      <c r="F48" s="733">
        <v>635369.13</v>
      </c>
      <c r="G48" s="733">
        <v>10963826.779999999</v>
      </c>
      <c r="H48" s="733">
        <f>E48/12*11</f>
        <v>34358843.75</v>
      </c>
      <c r="I48" s="44">
        <f t="shared" si="7"/>
        <v>-23395016.969999999</v>
      </c>
      <c r="J48" s="330">
        <f t="shared" si="8"/>
        <v>-0.68090233595244309</v>
      </c>
      <c r="K48" s="735">
        <f>E48</f>
        <v>37482375</v>
      </c>
      <c r="L48" s="100"/>
    </row>
    <row r="49" spans="1:12" ht="12.75" customHeight="1" x14ac:dyDescent="0.25">
      <c r="A49" s="416" t="s">
        <v>111</v>
      </c>
      <c r="B49" s="419"/>
      <c r="C49" s="735">
        <v>3374495</v>
      </c>
      <c r="D49" s="753"/>
      <c r="E49" s="733">
        <v>0</v>
      </c>
      <c r="F49" s="733"/>
      <c r="G49" s="733">
        <v>890340.17999999993</v>
      </c>
      <c r="H49" s="733"/>
      <c r="I49" s="44">
        <f t="shared" si="7"/>
        <v>890340.17999999993</v>
      </c>
      <c r="J49" s="330" t="e">
        <f t="shared" si="8"/>
        <v>#DIV/0!</v>
      </c>
      <c r="K49" s="735"/>
      <c r="L49" s="100"/>
    </row>
    <row r="50" spans="1:12" ht="12.75" customHeight="1" x14ac:dyDescent="0.25">
      <c r="A50" s="416" t="s">
        <v>112</v>
      </c>
      <c r="B50" s="419"/>
      <c r="C50" s="735">
        <v>-1919497.2900000722</v>
      </c>
      <c r="D50" s="753"/>
      <c r="E50" s="733">
        <v>0</v>
      </c>
      <c r="F50" s="733">
        <v>49129</v>
      </c>
      <c r="G50" s="733">
        <v>324261</v>
      </c>
      <c r="H50" s="733"/>
      <c r="I50" s="44">
        <f t="shared" si="7"/>
        <v>324261</v>
      </c>
      <c r="J50" s="330" t="e">
        <f t="shared" si="8"/>
        <v>#DIV/0!</v>
      </c>
      <c r="K50" s="735"/>
      <c r="L50" s="100"/>
    </row>
    <row r="51" spans="1:12" ht="12.75" customHeight="1" x14ac:dyDescent="0.25">
      <c r="A51" s="416" t="s">
        <v>711</v>
      </c>
      <c r="B51" s="419"/>
      <c r="C51" s="735"/>
      <c r="D51" s="753">
        <v>278902092</v>
      </c>
      <c r="E51" s="733">
        <v>284603166.77999997</v>
      </c>
      <c r="F51" s="733">
        <v>2584524.91</v>
      </c>
      <c r="G51" s="733">
        <v>48309588.270000003</v>
      </c>
      <c r="H51" s="733">
        <f>E51/12*11</f>
        <v>260886236.21499997</v>
      </c>
      <c r="I51" s="44">
        <f t="shared" si="7"/>
        <v>-212576647.94499996</v>
      </c>
      <c r="J51" s="330">
        <f t="shared" si="8"/>
        <v>-0.81482507865923826</v>
      </c>
      <c r="K51" s="735">
        <f>E51</f>
        <v>284603166.77999997</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321827707.07999998</v>
      </c>
      <c r="D53" s="669">
        <f t="shared" si="10"/>
        <v>104572064</v>
      </c>
      <c r="E53" s="637">
        <f t="shared" si="10"/>
        <v>197865670</v>
      </c>
      <c r="F53" s="637">
        <f t="shared" si="10"/>
        <v>15120149.25</v>
      </c>
      <c r="G53" s="637">
        <f t="shared" si="10"/>
        <v>198838915.71999997</v>
      </c>
      <c r="H53" s="637">
        <f t="shared" si="10"/>
        <v>181376864.16666669</v>
      </c>
      <c r="I53" s="44">
        <f t="shared" si="7"/>
        <v>17462051.553333282</v>
      </c>
      <c r="J53" s="330">
        <f t="shared" si="8"/>
        <v>9.6274966675393911E-2</v>
      </c>
      <c r="K53" s="641">
        <f>SUM(K54:K56)</f>
        <v>197865670</v>
      </c>
      <c r="L53" s="100"/>
    </row>
    <row r="54" spans="1:12" ht="12.75" customHeight="1" x14ac:dyDescent="0.25">
      <c r="A54" s="416" t="s">
        <v>114</v>
      </c>
      <c r="B54" s="419"/>
      <c r="C54" s="735">
        <v>23844833</v>
      </c>
      <c r="D54" s="753">
        <v>13936064</v>
      </c>
      <c r="E54" s="733">
        <v>37856365</v>
      </c>
      <c r="F54" s="733">
        <v>1524110.6600000001</v>
      </c>
      <c r="G54" s="733">
        <v>5966480.25</v>
      </c>
      <c r="H54" s="733">
        <f t="shared" ref="H54:H55" si="11">E54/12*11</f>
        <v>34701667.916666672</v>
      </c>
      <c r="I54" s="44">
        <f t="shared" si="7"/>
        <v>-28735187.666666672</v>
      </c>
      <c r="J54" s="330">
        <f t="shared" si="8"/>
        <v>-0.82806358863418228</v>
      </c>
      <c r="K54" s="735">
        <f t="shared" ref="K54:K55" si="12">E54</f>
        <v>37856365</v>
      </c>
      <c r="L54" s="100"/>
    </row>
    <row r="55" spans="1:12" ht="12.75" customHeight="1" x14ac:dyDescent="0.25">
      <c r="A55" s="416" t="s">
        <v>115</v>
      </c>
      <c r="B55" s="419"/>
      <c r="C55" s="735">
        <v>297722791.07999998</v>
      </c>
      <c r="D55" s="753">
        <v>90636000</v>
      </c>
      <c r="E55" s="733">
        <v>160009305</v>
      </c>
      <c r="F55" s="733">
        <v>13596038.59</v>
      </c>
      <c r="G55" s="733">
        <v>192872435.46999997</v>
      </c>
      <c r="H55" s="733">
        <f t="shared" si="11"/>
        <v>146675196.25</v>
      </c>
      <c r="I55" s="44">
        <f t="shared" si="7"/>
        <v>46197239.219999969</v>
      </c>
      <c r="J55" s="330">
        <f t="shared" si="8"/>
        <v>0.31496285944120539</v>
      </c>
      <c r="K55" s="735">
        <f t="shared" si="12"/>
        <v>160009305</v>
      </c>
      <c r="L55" s="100"/>
    </row>
    <row r="56" spans="1:12" ht="12.75" customHeight="1" x14ac:dyDescent="0.25">
      <c r="A56" s="416" t="s">
        <v>116</v>
      </c>
      <c r="B56" s="419"/>
      <c r="C56" s="735">
        <v>260083</v>
      </c>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3">SUM(C58:C61)</f>
        <v>153654177.97</v>
      </c>
      <c r="D57" s="669">
        <f t="shared" si="13"/>
        <v>103769000</v>
      </c>
      <c r="E57" s="637">
        <f t="shared" si="13"/>
        <v>185657098</v>
      </c>
      <c r="F57" s="637">
        <f t="shared" si="13"/>
        <v>14441234.049999999</v>
      </c>
      <c r="G57" s="637">
        <f t="shared" si="13"/>
        <v>153795345.97999999</v>
      </c>
      <c r="H57" s="637">
        <f t="shared" si="13"/>
        <v>170185673.16666669</v>
      </c>
      <c r="I57" s="44">
        <f t="shared" si="7"/>
        <v>-16390327.186666697</v>
      </c>
      <c r="J57" s="330">
        <f t="shared" si="8"/>
        <v>-9.6308501659921039E-2</v>
      </c>
      <c r="K57" s="641">
        <f>SUM(K58:K61)</f>
        <v>185657098</v>
      </c>
      <c r="L57" s="100"/>
    </row>
    <row r="58" spans="1:12" ht="12.75" customHeight="1" x14ac:dyDescent="0.25">
      <c r="A58" s="416" t="s">
        <v>1191</v>
      </c>
      <c r="B58" s="419"/>
      <c r="C58" s="735">
        <v>47652373.969999999</v>
      </c>
      <c r="D58" s="753">
        <v>12500000</v>
      </c>
      <c r="E58" s="733">
        <v>16134330</v>
      </c>
      <c r="F58" s="733">
        <v>2561031.67</v>
      </c>
      <c r="G58" s="733">
        <v>17750573.300000001</v>
      </c>
      <c r="H58" s="733">
        <f t="shared" ref="H58:H62" si="14">E58/12*11</f>
        <v>14789802.5</v>
      </c>
      <c r="I58" s="44">
        <f t="shared" si="7"/>
        <v>2960770.8000000007</v>
      </c>
      <c r="J58" s="330">
        <f t="shared" si="8"/>
        <v>0.20019001606005224</v>
      </c>
      <c r="K58" s="735">
        <f t="shared" ref="K58:K62" si="15">E58</f>
        <v>16134330</v>
      </c>
      <c r="L58" s="100"/>
    </row>
    <row r="59" spans="1:12" ht="12.75" customHeight="1" x14ac:dyDescent="0.25">
      <c r="A59" s="416" t="s">
        <v>1195</v>
      </c>
      <c r="B59" s="419"/>
      <c r="C59" s="735">
        <v>74706096</v>
      </c>
      <c r="D59" s="753">
        <v>59255000</v>
      </c>
      <c r="E59" s="733">
        <v>68660397</v>
      </c>
      <c r="F59" s="733">
        <v>4904711.16</v>
      </c>
      <c r="G59" s="733">
        <v>56460753.859999999</v>
      </c>
      <c r="H59" s="733">
        <f t="shared" si="14"/>
        <v>62938697.25</v>
      </c>
      <c r="I59" s="44">
        <f t="shared" si="7"/>
        <v>-6477943.3900000006</v>
      </c>
      <c r="J59" s="330">
        <f t="shared" si="8"/>
        <v>-0.10292465006494872</v>
      </c>
      <c r="K59" s="735">
        <f t="shared" si="15"/>
        <v>68660397</v>
      </c>
      <c r="L59" s="100"/>
    </row>
    <row r="60" spans="1:12" ht="12.75" customHeight="1" x14ac:dyDescent="0.25">
      <c r="A60" s="416" t="s">
        <v>118</v>
      </c>
      <c r="B60" s="419"/>
      <c r="C60" s="754">
        <v>23360737</v>
      </c>
      <c r="D60" s="755">
        <v>27514000</v>
      </c>
      <c r="E60" s="756">
        <v>73099946</v>
      </c>
      <c r="F60" s="756">
        <v>6454479.1200000001</v>
      </c>
      <c r="G60" s="756">
        <v>62138298.43999999</v>
      </c>
      <c r="H60" s="756">
        <f t="shared" si="14"/>
        <v>67008283.833333336</v>
      </c>
      <c r="I60" s="44">
        <f t="shared" si="7"/>
        <v>-4869985.3933333457</v>
      </c>
      <c r="J60" s="330">
        <f t="shared" si="8"/>
        <v>-7.2677363375642318E-2</v>
      </c>
      <c r="K60" s="754">
        <f t="shared" si="15"/>
        <v>73099946</v>
      </c>
      <c r="L60" s="100"/>
    </row>
    <row r="61" spans="1:12" ht="12.75" customHeight="1" x14ac:dyDescent="0.25">
      <c r="A61" s="416" t="s">
        <v>119</v>
      </c>
      <c r="B61" s="419"/>
      <c r="C61" s="735">
        <v>7934971</v>
      </c>
      <c r="D61" s="753">
        <v>4500000</v>
      </c>
      <c r="E61" s="733">
        <v>27762425</v>
      </c>
      <c r="F61" s="733">
        <v>521012.1</v>
      </c>
      <c r="G61" s="733">
        <v>17445720.380000003</v>
      </c>
      <c r="H61" s="733">
        <f t="shared" si="14"/>
        <v>25448889.583333332</v>
      </c>
      <c r="I61" s="44">
        <f t="shared" si="7"/>
        <v>-8003169.2033333294</v>
      </c>
      <c r="J61" s="330">
        <f t="shared" si="8"/>
        <v>-0.3144800945882788</v>
      </c>
      <c r="K61" s="735">
        <f t="shared" si="15"/>
        <v>27762425</v>
      </c>
      <c r="L61" s="100"/>
    </row>
    <row r="62" spans="1:12" ht="12.75" customHeight="1" x14ac:dyDescent="0.25">
      <c r="A62" s="414" t="s">
        <v>718</v>
      </c>
      <c r="B62" s="419"/>
      <c r="C62" s="735"/>
      <c r="D62" s="753">
        <v>2500000</v>
      </c>
      <c r="E62" s="733">
        <v>2647634</v>
      </c>
      <c r="F62" s="733"/>
      <c r="G62" s="733">
        <v>2038113.77</v>
      </c>
      <c r="H62" s="733">
        <f t="shared" si="14"/>
        <v>2426997.833333333</v>
      </c>
      <c r="I62" s="44">
        <f t="shared" si="7"/>
        <v>-388884.063333333</v>
      </c>
      <c r="J62" s="330">
        <f t="shared" si="8"/>
        <v>-0.16023255480175874</v>
      </c>
      <c r="K62" s="735">
        <f t="shared" si="15"/>
        <v>2647634</v>
      </c>
      <c r="L62" s="100"/>
    </row>
    <row r="63" spans="1:12" ht="12.75" customHeight="1" x14ac:dyDescent="0.25">
      <c r="A63" s="537" t="s">
        <v>1213</v>
      </c>
      <c r="B63" s="539">
        <v>3</v>
      </c>
      <c r="C63" s="540">
        <f>C43+C47+C53+C57+C62</f>
        <v>479854918.75999987</v>
      </c>
      <c r="D63" s="541">
        <f t="shared" ref="D63:I63" si="16">D43+D47+D53+D57+D62</f>
        <v>568215156</v>
      </c>
      <c r="E63" s="478">
        <f t="shared" si="16"/>
        <v>747190359.77999997</v>
      </c>
      <c r="F63" s="478">
        <f t="shared" si="16"/>
        <v>35226258.649999999</v>
      </c>
      <c r="G63" s="478">
        <f t="shared" si="16"/>
        <v>420492778.12999994</v>
      </c>
      <c r="H63" s="478">
        <f t="shared" si="16"/>
        <v>684924496.46500003</v>
      </c>
      <c r="I63" s="478">
        <f t="shared" si="16"/>
        <v>-264431718.33500004</v>
      </c>
      <c r="J63" s="542">
        <f t="shared" si="8"/>
        <v>-0.38607426030135078</v>
      </c>
      <c r="K63" s="543">
        <f>K43+K47+K53+K57+K62</f>
        <v>747190359.77999997</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v>312943688</v>
      </c>
      <c r="D66" s="753">
        <v>255267424.99999985</v>
      </c>
      <c r="E66" s="733">
        <v>308119500.77999997</v>
      </c>
      <c r="F66" s="733">
        <v>25636893.100000001</v>
      </c>
      <c r="G66" s="733">
        <v>316191096.80000001</v>
      </c>
      <c r="H66" s="733">
        <f t="shared" ref="H66:H67" si="17">E66/12*11</f>
        <v>282442875.71499997</v>
      </c>
      <c r="I66" s="44">
        <f t="shared" ref="I66:I74" si="18">G66-H66</f>
        <v>33748221.085000038</v>
      </c>
      <c r="J66" s="330">
        <f t="shared" ref="J66:J74" si="19">IF(I66=0,"",I66/H66)</f>
        <v>0.11948689093172173</v>
      </c>
      <c r="K66" s="735">
        <f t="shared" ref="K66:K67" si="20">E66</f>
        <v>308119500.77999997</v>
      </c>
      <c r="L66" s="100"/>
    </row>
    <row r="67" spans="1:12" ht="12.75" customHeight="1" x14ac:dyDescent="0.25">
      <c r="A67" s="107" t="s">
        <v>603</v>
      </c>
      <c r="B67" s="169"/>
      <c r="C67" s="748">
        <v>76188437</v>
      </c>
      <c r="D67" s="753">
        <v>270624156</v>
      </c>
      <c r="E67" s="733">
        <v>340486443</v>
      </c>
      <c r="F67" s="733">
        <v>4228986.57</v>
      </c>
      <c r="G67" s="733">
        <v>53745994.419999994</v>
      </c>
      <c r="H67" s="733">
        <f t="shared" si="17"/>
        <v>312112572.75</v>
      </c>
      <c r="I67" s="44">
        <f t="shared" si="18"/>
        <v>-258366578.33000001</v>
      </c>
      <c r="J67" s="330">
        <f t="shared" si="19"/>
        <v>-0.82779932911241561</v>
      </c>
      <c r="K67" s="735">
        <f t="shared" si="20"/>
        <v>340486443</v>
      </c>
      <c r="L67" s="100"/>
    </row>
    <row r="68" spans="1:12" ht="12.75" customHeight="1" x14ac:dyDescent="0.25">
      <c r="A68" s="107" t="s">
        <v>604</v>
      </c>
      <c r="B68" s="169"/>
      <c r="C68" s="748"/>
      <c r="D68" s="753"/>
      <c r="E68" s="733"/>
      <c r="F68" s="733"/>
      <c r="G68" s="733"/>
      <c r="H68" s="733"/>
      <c r="I68" s="44">
        <f t="shared" si="18"/>
        <v>0</v>
      </c>
      <c r="J68" s="330" t="str">
        <f t="shared" si="19"/>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8"/>
        <v>0</v>
      </c>
      <c r="J69" s="335" t="str">
        <f t="shared" si="19"/>
        <v/>
      </c>
      <c r="K69" s="752"/>
      <c r="L69" s="100"/>
    </row>
    <row r="70" spans="1:12" ht="12.75" customHeight="1" x14ac:dyDescent="0.25">
      <c r="A70" s="692" t="s">
        <v>959</v>
      </c>
      <c r="B70" s="169"/>
      <c r="C70" s="109">
        <f t="shared" ref="C70:H70" si="21">SUM(C66:C69)</f>
        <v>389132125</v>
      </c>
      <c r="D70" s="259">
        <f t="shared" si="21"/>
        <v>525891580.99999988</v>
      </c>
      <c r="E70" s="50">
        <f t="shared" si="21"/>
        <v>648605943.77999997</v>
      </c>
      <c r="F70" s="50">
        <f t="shared" si="21"/>
        <v>29865879.670000002</v>
      </c>
      <c r="G70" s="50">
        <f t="shared" si="21"/>
        <v>369937091.22000003</v>
      </c>
      <c r="H70" s="50">
        <f t="shared" si="21"/>
        <v>594555448.46499991</v>
      </c>
      <c r="I70" s="50">
        <f t="shared" si="18"/>
        <v>-224618357.24499989</v>
      </c>
      <c r="J70" s="146">
        <f t="shared" si="19"/>
        <v>-0.37779210976017596</v>
      </c>
      <c r="K70" s="50">
        <f>SUM(K66:K69)</f>
        <v>648605943.77999997</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v>4229818.17</v>
      </c>
      <c r="D72" s="753"/>
      <c r="E72" s="733"/>
      <c r="F72" s="733"/>
      <c r="G72" s="733"/>
      <c r="H72" s="733"/>
      <c r="I72" s="44">
        <f t="shared" si="18"/>
        <v>0</v>
      </c>
      <c r="J72" s="330" t="str">
        <f t="shared" si="19"/>
        <v/>
      </c>
      <c r="K72" s="735"/>
      <c r="L72" s="100"/>
    </row>
    <row r="73" spans="1:12" ht="12.75" customHeight="1" x14ac:dyDescent="0.25">
      <c r="A73" s="106" t="s">
        <v>472</v>
      </c>
      <c r="B73" s="248"/>
      <c r="C73" s="749">
        <v>86493279</v>
      </c>
      <c r="D73" s="757">
        <v>55000000</v>
      </c>
      <c r="E73" s="751">
        <v>98584414</v>
      </c>
      <c r="F73" s="751">
        <v>5360378.9800000004</v>
      </c>
      <c r="G73" s="751">
        <v>50555686.909999989</v>
      </c>
      <c r="H73" s="751">
        <f>E73/12*11</f>
        <v>90369046.166666657</v>
      </c>
      <c r="I73" s="99">
        <f t="shared" si="18"/>
        <v>-39813359.256666668</v>
      </c>
      <c r="J73" s="335">
        <f t="shared" si="19"/>
        <v>-0.44056411952428176</v>
      </c>
      <c r="K73" s="752">
        <f>E73</f>
        <v>98584414</v>
      </c>
      <c r="L73" s="100"/>
    </row>
    <row r="74" spans="1:12" ht="12.75" customHeight="1" x14ac:dyDescent="0.25">
      <c r="A74" s="538" t="s">
        <v>892</v>
      </c>
      <c r="B74" s="119"/>
      <c r="C74" s="244">
        <f t="shared" ref="C74:H74" si="22">+C70+C72+C73</f>
        <v>479855222.17000002</v>
      </c>
      <c r="D74" s="265">
        <f t="shared" si="22"/>
        <v>580891580.99999988</v>
      </c>
      <c r="E74" s="76">
        <f t="shared" si="22"/>
        <v>747190357.77999997</v>
      </c>
      <c r="F74" s="76">
        <f t="shared" si="22"/>
        <v>35226258.650000006</v>
      </c>
      <c r="G74" s="76">
        <f t="shared" si="22"/>
        <v>420492778.13</v>
      </c>
      <c r="H74" s="76">
        <f t="shared" si="22"/>
        <v>684924494.63166654</v>
      </c>
      <c r="I74" s="76">
        <f t="shared" si="18"/>
        <v>-264431716.50166655</v>
      </c>
      <c r="J74" s="333">
        <f t="shared" si="19"/>
        <v>-0.38607425865805928</v>
      </c>
      <c r="K74" s="234">
        <f>+K70+K72+K73</f>
        <v>747190357.77999997</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57" t="s">
        <v>143</v>
      </c>
      <c r="B77" s="1057"/>
      <c r="C77" s="1057"/>
      <c r="D77" s="1057"/>
      <c r="E77" s="1057"/>
      <c r="F77" s="1057"/>
      <c r="G77" s="1057"/>
      <c r="H77" s="1057"/>
      <c r="I77" s="1057"/>
      <c r="J77" s="1057"/>
      <c r="K77" s="1057"/>
    </row>
    <row r="78" spans="1:12" ht="12" customHeight="1" x14ac:dyDescent="0.25">
      <c r="A78" s="1057" t="s">
        <v>1215</v>
      </c>
      <c r="B78" s="1057"/>
      <c r="C78" s="1057"/>
      <c r="D78" s="1057"/>
      <c r="E78" s="1057"/>
      <c r="F78" s="1057"/>
      <c r="G78" s="1057"/>
      <c r="H78" s="1057"/>
      <c r="I78" s="1057"/>
      <c r="J78" s="1057"/>
      <c r="K78" s="1057"/>
    </row>
    <row r="79" spans="1:12" ht="12" customHeight="1" x14ac:dyDescent="0.25">
      <c r="A79" s="1058" t="s">
        <v>524</v>
      </c>
      <c r="B79" s="1057"/>
      <c r="C79" s="1057"/>
      <c r="D79" s="1057"/>
      <c r="E79" s="1057"/>
      <c r="F79" s="1057"/>
      <c r="G79" s="1057"/>
      <c r="H79" s="1057"/>
      <c r="I79" s="1057"/>
      <c r="J79" s="1057"/>
      <c r="K79" s="1057"/>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23">D40-D74</f>
        <v>0</v>
      </c>
      <c r="E86" s="693">
        <f t="shared" si="23"/>
        <v>2</v>
      </c>
      <c r="F86" s="693">
        <f t="shared" si="23"/>
        <v>0</v>
      </c>
      <c r="G86" s="693">
        <f t="shared" si="23"/>
        <v>0</v>
      </c>
      <c r="H86" s="693">
        <f t="shared" si="23"/>
        <v>1.8333333730697632</v>
      </c>
      <c r="I86" s="693"/>
      <c r="J86" s="693"/>
      <c r="K86" s="693">
        <f t="shared" si="23"/>
        <v>2</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s="25" customFormat="1" ht="11.25" customHeight="1" x14ac:dyDescent="0.25"/>
    <row r="98" s="25" customFormat="1" ht="11.25" customHeight="1" x14ac:dyDescent="0.25"/>
    <row r="99" s="25" customFormat="1" ht="11.25" customHeight="1" x14ac:dyDescent="0.25"/>
    <row r="100" s="25" customFormat="1" ht="11.25" customHeight="1" x14ac:dyDescent="0.25"/>
    <row r="101" s="25" customFormat="1" ht="11.25" customHeight="1" x14ac:dyDescent="0.25"/>
    <row r="102" s="25" customFormat="1" ht="11.25" customHeight="1" x14ac:dyDescent="0.25"/>
    <row r="103" s="25" customFormat="1" ht="11.25" customHeight="1" x14ac:dyDescent="0.25"/>
    <row r="104" s="25" customFormat="1" ht="11.25" customHeight="1" x14ac:dyDescent="0.25"/>
    <row r="105" s="25" customFormat="1" ht="11.25" customHeight="1" x14ac:dyDescent="0.25"/>
    <row r="106" s="25" customFormat="1" ht="11.25" customHeight="1" x14ac:dyDescent="0.25"/>
    <row r="107" s="25" customFormat="1" ht="11.25" customHeight="1" x14ac:dyDescent="0.25"/>
    <row r="108" s="25" customFormat="1" ht="11.25" customHeight="1" x14ac:dyDescent="0.25"/>
    <row r="109" s="25" customFormat="1" ht="11.25" customHeight="1" x14ac:dyDescent="0.25"/>
    <row r="110" s="25" customFormat="1" ht="11.25" customHeight="1" x14ac:dyDescent="0.25"/>
    <row r="111" s="25" customFormat="1" ht="11.25" customHeight="1" x14ac:dyDescent="0.25"/>
    <row r="112" s="25" customFormat="1" ht="11.25" customHeight="1" x14ac:dyDescent="0.25"/>
    <row r="113" s="25" customFormat="1" ht="11.25" customHeight="1" x14ac:dyDescent="0.25"/>
    <row r="114" s="25" customFormat="1" ht="11.25" customHeight="1" x14ac:dyDescent="0.25"/>
    <row r="115" s="25" customFormat="1" ht="11.25" customHeight="1" x14ac:dyDescent="0.25"/>
    <row r="116" s="25" customFormat="1" ht="11.25" customHeight="1" x14ac:dyDescent="0.25"/>
    <row r="117" s="25" customFormat="1" ht="11.25" customHeight="1" x14ac:dyDescent="0.25"/>
    <row r="118" s="25" customFormat="1" ht="11.25" customHeight="1" x14ac:dyDescent="0.25"/>
    <row r="119" s="25" customFormat="1" ht="11.25" customHeight="1" x14ac:dyDescent="0.25"/>
    <row r="120" s="25" customFormat="1" ht="11.25" customHeight="1" x14ac:dyDescent="0.25"/>
    <row r="121" s="25" customFormat="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54"/>
  <sheetViews>
    <sheetView showGridLines="0" showZeros="0" zoomScaleNormal="100" workbookViewId="0">
      <pane xSplit="2" ySplit="4" topLeftCell="C151" activePane="bottomRight" state="frozen"/>
      <selection pane="topRight"/>
      <selection pane="bottomLeft"/>
      <selection pane="bottomRight" activeCell="C24" sqref="C24"/>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47" t="str">
        <f>muni&amp; " - "&amp;S71D&amp; " - "&amp;"A"&amp; " - "&amp;date</f>
        <v>KZN225 Msunduzi - Table C5 Consolidated Monthly Budget Statement - Capital Expenditure (municipal vote, functional classification and funding  - A - M11 May</v>
      </c>
      <c r="B1" s="1047"/>
      <c r="C1" s="1047"/>
      <c r="D1" s="1047"/>
      <c r="E1" s="1047"/>
      <c r="F1" s="1047"/>
      <c r="G1" s="1047"/>
      <c r="H1" s="1047"/>
      <c r="I1" s="1047"/>
      <c r="J1" s="1047"/>
      <c r="K1" s="1047"/>
    </row>
    <row r="2" spans="1:23" ht="28.5" customHeight="1" x14ac:dyDescent="0.25">
      <c r="A2" s="435" t="str">
        <f>Vdesc</f>
        <v>Vote Description</v>
      </c>
      <c r="B2" s="436" t="str">
        <f>head27</f>
        <v>Ref</v>
      </c>
      <c r="C2" s="142" t="str">
        <f>Head1</f>
        <v>2019/20</v>
      </c>
      <c r="D2" s="1040" t="str">
        <f>Head2</f>
        <v>Budget Year 2020/21</v>
      </c>
      <c r="E2" s="1041"/>
      <c r="F2" s="1041"/>
      <c r="G2" s="1041"/>
      <c r="H2" s="1041"/>
      <c r="I2" s="1041"/>
      <c r="J2" s="1041"/>
      <c r="K2" s="1042"/>
      <c r="L2" s="1051" t="e">
        <f>Head4</f>
        <v>#REF!</v>
      </c>
      <c r="M2" s="1052"/>
      <c r="N2" s="1052"/>
      <c r="O2" s="1052"/>
      <c r="P2" s="1052"/>
      <c r="Q2" s="1052"/>
      <c r="R2" s="1052"/>
      <c r="S2" s="1052"/>
      <c r="T2" s="1052"/>
      <c r="U2" s="1052"/>
      <c r="V2" s="1052"/>
      <c r="W2" s="1053"/>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646307</v>
      </c>
      <c r="D7" s="444">
        <f t="shared" si="0"/>
        <v>3800000</v>
      </c>
      <c r="E7" s="441">
        <f t="shared" si="0"/>
        <v>2300000</v>
      </c>
      <c r="F7" s="443">
        <f t="shared" si="0"/>
        <v>0</v>
      </c>
      <c r="G7" s="441">
        <f t="shared" si="0"/>
        <v>0</v>
      </c>
      <c r="H7" s="443">
        <f t="shared" si="0"/>
        <v>2108333.333333333</v>
      </c>
      <c r="I7" s="50">
        <f t="shared" ref="I7:I43" si="1">G7-H7</f>
        <v>-2108333.333333333</v>
      </c>
      <c r="J7" s="146">
        <f t="shared" ref="J7:J43" si="2">IF(I7=0,"",I7/H7)</f>
        <v>-1</v>
      </c>
      <c r="K7" s="442">
        <f>SUM(K8:K11)</f>
        <v>2300000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2300000</v>
      </c>
      <c r="F9" s="742"/>
      <c r="G9" s="741"/>
      <c r="H9" s="742">
        <f>E9/12*11</f>
        <v>2108333.333333333</v>
      </c>
      <c r="I9" s="44">
        <f t="shared" si="1"/>
        <v>-2108333.333333333</v>
      </c>
      <c r="J9" s="330">
        <f t="shared" si="2"/>
        <v>-1</v>
      </c>
      <c r="K9" s="743">
        <f t="shared" ref="K9" si="3">E9</f>
        <v>2300000</v>
      </c>
      <c r="L9" s="424"/>
      <c r="M9" s="38"/>
      <c r="N9" s="38"/>
      <c r="O9" s="38"/>
      <c r="P9" s="38"/>
      <c r="Q9" s="38"/>
      <c r="R9" s="38"/>
      <c r="S9" s="38"/>
      <c r="T9" s="38"/>
      <c r="U9" s="38"/>
      <c r="V9" s="38"/>
      <c r="W9" s="38"/>
    </row>
    <row r="10" spans="1:23" ht="11.25" customHeight="1" x14ac:dyDescent="0.25">
      <c r="A10" s="407" t="str">
        <f>'Org structure'!E5</f>
        <v>1.3 - Political Support</v>
      </c>
      <c r="B10" s="445"/>
      <c r="C10" s="739">
        <v>646307</v>
      </c>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4">SUM(C13:C17)</f>
        <v>9184603</v>
      </c>
      <c r="D12" s="444">
        <f t="shared" si="4"/>
        <v>12500000</v>
      </c>
      <c r="E12" s="441">
        <f t="shared" si="4"/>
        <v>4720000</v>
      </c>
      <c r="F12" s="443">
        <f t="shared" si="4"/>
        <v>1990.02</v>
      </c>
      <c r="G12" s="441">
        <f t="shared" si="4"/>
        <v>207922.75999999998</v>
      </c>
      <c r="H12" s="443">
        <f t="shared" si="4"/>
        <v>4326666.666666666</v>
      </c>
      <c r="I12" s="44">
        <f t="shared" si="1"/>
        <v>-4118743.9066666663</v>
      </c>
      <c r="J12" s="330">
        <f t="shared" si="2"/>
        <v>-0.95194389214175656</v>
      </c>
      <c r="K12" s="442">
        <f>SUM(K13:K17)</f>
        <v>4720000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v>9184603</v>
      </c>
      <c r="D14" s="740">
        <v>12500000</v>
      </c>
      <c r="E14" s="741">
        <v>4720000</v>
      </c>
      <c r="F14" s="742"/>
      <c r="G14" s="741"/>
      <c r="H14" s="742">
        <f>E14/12*11</f>
        <v>4326666.666666666</v>
      </c>
      <c r="I14" s="44">
        <f t="shared" si="1"/>
        <v>-4326666.666666666</v>
      </c>
      <c r="J14" s="330">
        <f t="shared" si="2"/>
        <v>-1</v>
      </c>
      <c r="K14" s="743">
        <f t="shared" ref="K14" si="5">E14</f>
        <v>4720000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07" t="str">
        <f>'Org structure'!E18</f>
        <v>2.5 - Supply Chain Management</v>
      </c>
      <c r="B17" s="445"/>
      <c r="C17" s="739"/>
      <c r="D17" s="740"/>
      <c r="E17" s="741"/>
      <c r="F17" s="742">
        <v>1990.02</v>
      </c>
      <c r="G17" s="741">
        <v>207922.75999999998</v>
      </c>
      <c r="H17" s="742"/>
      <c r="I17" s="44">
        <f t="shared" si="1"/>
        <v>207922.75999999998</v>
      </c>
      <c r="J17" s="330" t="e">
        <f t="shared" si="2"/>
        <v>#DIV/0!</v>
      </c>
      <c r="K17" s="743"/>
      <c r="L17" s="424"/>
      <c r="M17" s="38"/>
      <c r="N17" s="38"/>
      <c r="O17" s="38"/>
      <c r="P17" s="38"/>
      <c r="Q17" s="38"/>
      <c r="R17" s="38"/>
      <c r="S17" s="38"/>
      <c r="T17" s="38"/>
      <c r="U17" s="38"/>
      <c r="V17" s="38"/>
      <c r="W17" s="38"/>
    </row>
    <row r="18" spans="1:23" ht="11.25" customHeight="1" x14ac:dyDescent="0.25">
      <c r="A18" s="466" t="str">
        <f>'Org structure'!A4</f>
        <v>Vote 3 - Community Services and Social Equity</v>
      </c>
      <c r="B18" s="440"/>
      <c r="C18" s="503">
        <f t="shared" ref="C18:H18" si="6">SUM(C19:C22)</f>
        <v>12745198</v>
      </c>
      <c r="D18" s="444">
        <f t="shared" si="6"/>
        <v>23812425</v>
      </c>
      <c r="E18" s="441">
        <f t="shared" si="6"/>
        <v>46120040</v>
      </c>
      <c r="F18" s="443">
        <f t="shared" si="6"/>
        <v>916522.3</v>
      </c>
      <c r="G18" s="441">
        <f t="shared" si="6"/>
        <v>12162802.280000001</v>
      </c>
      <c r="H18" s="443">
        <f t="shared" si="6"/>
        <v>42276703.333333336</v>
      </c>
      <c r="I18" s="44">
        <f t="shared" si="1"/>
        <v>-30113901.053333335</v>
      </c>
      <c r="J18" s="330">
        <f t="shared" si="2"/>
        <v>-0.71230485536912325</v>
      </c>
      <c r="K18" s="442">
        <f>SUM(K19:K22)</f>
        <v>46120040</v>
      </c>
      <c r="L18" s="424"/>
      <c r="M18" s="38"/>
      <c r="N18" s="38"/>
      <c r="O18" s="38"/>
      <c r="P18" s="38"/>
      <c r="Q18" s="38"/>
      <c r="R18" s="38"/>
      <c r="S18" s="38"/>
      <c r="T18" s="38"/>
      <c r="U18" s="38"/>
      <c r="V18" s="38"/>
      <c r="W18" s="38"/>
    </row>
    <row r="19" spans="1:23" ht="11.25" customHeight="1" x14ac:dyDescent="0.25">
      <c r="A19" s="407" t="str">
        <f>'Org structure'!E25</f>
        <v xml:space="preserve">3.1 - Area Based Management </v>
      </c>
      <c r="B19" s="445"/>
      <c r="C19" s="739">
        <v>260083</v>
      </c>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3" ht="11.25" customHeight="1" x14ac:dyDescent="0.25">
      <c r="A20" s="407" t="str">
        <f>'Org structure'!E26</f>
        <v>3.2 - Public Safety, Emergency Services and Enforcement</v>
      </c>
      <c r="B20" s="445"/>
      <c r="C20" s="739">
        <v>1175649</v>
      </c>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structure'!E27</f>
        <v>3.3 - Recreation and Facilities</v>
      </c>
      <c r="B21" s="445"/>
      <c r="C21" s="739">
        <v>3374495</v>
      </c>
      <c r="D21" s="740">
        <v>7000000</v>
      </c>
      <c r="E21" s="741">
        <v>23320040</v>
      </c>
      <c r="F21" s="742">
        <v>515018.13</v>
      </c>
      <c r="G21" s="741">
        <v>5211222.46</v>
      </c>
      <c r="H21" s="742">
        <f t="shared" ref="H21:H22" si="7">E21/12*11</f>
        <v>21376703.333333336</v>
      </c>
      <c r="I21" s="44">
        <f t="shared" si="1"/>
        <v>-16165480.873333335</v>
      </c>
      <c r="J21" s="330">
        <f t="shared" si="2"/>
        <v>-0.75621954523390023</v>
      </c>
      <c r="K21" s="743">
        <f t="shared" ref="K21:K22" si="8">E21</f>
        <v>23320040</v>
      </c>
      <c r="L21" s="424"/>
      <c r="M21" s="38"/>
      <c r="N21" s="38"/>
      <c r="O21" s="38"/>
      <c r="P21" s="38"/>
      <c r="Q21" s="38"/>
      <c r="R21" s="38"/>
      <c r="S21" s="38"/>
      <c r="T21" s="38"/>
      <c r="U21" s="38"/>
      <c r="V21" s="38"/>
      <c r="W21" s="38"/>
    </row>
    <row r="22" spans="1:23" ht="11.25" customHeight="1" x14ac:dyDescent="0.25">
      <c r="A22" s="407" t="str">
        <f>'Org structure'!E28</f>
        <v>3.4 - Waste Management</v>
      </c>
      <c r="B22" s="445"/>
      <c r="C22" s="739">
        <v>7934971</v>
      </c>
      <c r="D22" s="740">
        <v>16812425</v>
      </c>
      <c r="E22" s="741">
        <v>22800000</v>
      </c>
      <c r="F22" s="742">
        <v>401504.17</v>
      </c>
      <c r="G22" s="741">
        <v>6951579.8200000003</v>
      </c>
      <c r="H22" s="742">
        <f t="shared" si="7"/>
        <v>20900000</v>
      </c>
      <c r="I22" s="44">
        <f t="shared" si="1"/>
        <v>-13948420.18</v>
      </c>
      <c r="J22" s="330">
        <f t="shared" si="2"/>
        <v>-0.66738852535885163</v>
      </c>
      <c r="K22" s="743">
        <f t="shared" si="8"/>
        <v>22800000</v>
      </c>
      <c r="L22" s="424"/>
      <c r="M22" s="38"/>
      <c r="N22" s="38"/>
      <c r="O22" s="38"/>
      <c r="P22" s="38"/>
      <c r="Q22" s="38"/>
      <c r="R22" s="38"/>
      <c r="S22" s="38"/>
      <c r="T22" s="38"/>
      <c r="U22" s="38"/>
      <c r="V22" s="38"/>
      <c r="W22" s="38"/>
    </row>
    <row r="23" spans="1:23" ht="11.25" customHeight="1" x14ac:dyDescent="0.25">
      <c r="A23" s="466" t="str">
        <f>'Org structure'!A5</f>
        <v>Vote 4 - Corporate Services</v>
      </c>
      <c r="B23" s="440"/>
      <c r="C23" s="503">
        <f>SUM(C24:C27)</f>
        <v>-6912874</v>
      </c>
      <c r="D23" s="444">
        <f t="shared" ref="D23:H23" si="9">SUM(D24:D28)</f>
        <v>0</v>
      </c>
      <c r="E23" s="441">
        <f t="shared" si="9"/>
        <v>1970000</v>
      </c>
      <c r="F23" s="443">
        <f t="shared" si="9"/>
        <v>0</v>
      </c>
      <c r="G23" s="441">
        <f t="shared" si="9"/>
        <v>0</v>
      </c>
      <c r="H23" s="443">
        <f t="shared" si="9"/>
        <v>1805833.3333333333</v>
      </c>
      <c r="I23" s="44">
        <f t="shared" si="1"/>
        <v>-1805833.3333333333</v>
      </c>
      <c r="J23" s="330">
        <f t="shared" si="2"/>
        <v>-1</v>
      </c>
      <c r="K23" s="442">
        <f>SUM(K24:K28)</f>
        <v>1970000</v>
      </c>
      <c r="L23" s="424"/>
      <c r="M23" s="38"/>
      <c r="N23" s="38"/>
      <c r="O23" s="38"/>
      <c r="P23" s="38"/>
      <c r="Q23" s="38"/>
      <c r="R23" s="38"/>
      <c r="S23" s="38"/>
      <c r="T23" s="38"/>
      <c r="U23" s="38"/>
      <c r="V23" s="38"/>
      <c r="W23" s="38"/>
    </row>
    <row r="24" spans="1:23" ht="11.25" customHeight="1" x14ac:dyDescent="0.25">
      <c r="A24" s="407" t="str">
        <f>'Org structure'!E36</f>
        <v>4.1 - Human Resources Management</v>
      </c>
      <c r="B24" s="445"/>
      <c r="C24" s="739">
        <v>153990</v>
      </c>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customHeight="1" x14ac:dyDescent="0.25">
      <c r="A25" s="407" t="str">
        <f>'Org structure'!E37</f>
        <v>4.2 - Information Technology</v>
      </c>
      <c r="B25" s="445"/>
      <c r="C25" s="739">
        <v>-7251520</v>
      </c>
      <c r="D25" s="740"/>
      <c r="E25" s="741">
        <v>1970000</v>
      </c>
      <c r="F25" s="742"/>
      <c r="G25" s="741"/>
      <c r="H25" s="742">
        <f>E25/12*11</f>
        <v>1805833.3333333333</v>
      </c>
      <c r="I25" s="44">
        <f t="shared" si="1"/>
        <v>-1805833.3333333333</v>
      </c>
      <c r="J25" s="330">
        <f t="shared" si="2"/>
        <v>-1</v>
      </c>
      <c r="K25" s="743">
        <f t="shared" ref="K25" si="10">E25</f>
        <v>1970000</v>
      </c>
      <c r="L25" s="424"/>
      <c r="M25" s="38"/>
      <c r="N25" s="38"/>
      <c r="O25" s="38"/>
      <c r="P25" s="38"/>
      <c r="Q25" s="38"/>
      <c r="R25" s="38"/>
      <c r="S25" s="38"/>
      <c r="T25" s="38"/>
      <c r="U25" s="38"/>
      <c r="V25" s="38"/>
      <c r="W25" s="38"/>
    </row>
    <row r="26" spans="1:23" ht="11.25" customHeight="1" x14ac:dyDescent="0.25">
      <c r="A26" s="407" t="str">
        <f>'Org structure'!E38</f>
        <v>4.3 - Legal Services</v>
      </c>
      <c r="B26" s="445"/>
      <c r="C26" s="739">
        <v>0</v>
      </c>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customHeight="1" x14ac:dyDescent="0.25">
      <c r="A27" s="407" t="str">
        <f>'Org structure'!E39</f>
        <v>4.4 - Secretariat and Auxiliary Services</v>
      </c>
      <c r="B27" s="445"/>
      <c r="C27" s="739">
        <v>184656</v>
      </c>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3" ht="11.25" customHeight="1" x14ac:dyDescent="0.25">
      <c r="A29" s="466" t="str">
        <f>'Org structure'!A6</f>
        <v>Vote 5 - Infrastructure Services</v>
      </c>
      <c r="B29" s="440"/>
      <c r="C29" s="503">
        <f t="shared" ref="C29:H29" si="11">SUM(C30:C34)</f>
        <v>354424144.07999998</v>
      </c>
      <c r="D29" s="444">
        <f t="shared" si="11"/>
        <v>168455000</v>
      </c>
      <c r="E29" s="441">
        <f t="shared" si="11"/>
        <v>7780000</v>
      </c>
      <c r="F29" s="443">
        <f t="shared" si="11"/>
        <v>26357822.189999998</v>
      </c>
      <c r="G29" s="441">
        <f t="shared" si="11"/>
        <v>319202566.37</v>
      </c>
      <c r="H29" s="443">
        <f t="shared" si="11"/>
        <v>7131666.666666667</v>
      </c>
      <c r="I29" s="44">
        <f t="shared" si="1"/>
        <v>312070899.70333332</v>
      </c>
      <c r="J29" s="330">
        <f t="shared" si="2"/>
        <v>43.758480911895298</v>
      </c>
      <c r="K29" s="442">
        <f>SUM(K30:K34)</f>
        <v>7780000</v>
      </c>
      <c r="L29" s="424"/>
      <c r="M29" s="38"/>
      <c r="N29" s="38"/>
      <c r="O29" s="38"/>
      <c r="P29" s="38"/>
      <c r="Q29" s="38"/>
      <c r="R29" s="38"/>
      <c r="S29" s="38"/>
      <c r="T29" s="38"/>
      <c r="U29" s="38"/>
      <c r="V29" s="38"/>
      <c r="W29" s="38"/>
    </row>
    <row r="30" spans="1:23" ht="11.25" customHeight="1" x14ac:dyDescent="0.25">
      <c r="A30" s="407" t="str">
        <f>'Org structure'!E47</f>
        <v>5.1 - Electricity</v>
      </c>
      <c r="B30" s="445"/>
      <c r="C30" s="739">
        <v>33332616</v>
      </c>
      <c r="D30" s="740"/>
      <c r="E30" s="741">
        <v>7780000</v>
      </c>
      <c r="F30" s="742">
        <v>1402593.32</v>
      </c>
      <c r="G30" s="741">
        <v>7731078.6000000006</v>
      </c>
      <c r="H30" s="742">
        <f>E30/12*11</f>
        <v>7131666.666666667</v>
      </c>
      <c r="I30" s="44">
        <f t="shared" si="1"/>
        <v>599411.93333333358</v>
      </c>
      <c r="J30" s="330">
        <f t="shared" si="2"/>
        <v>8.4049347978499681E-2</v>
      </c>
      <c r="K30" s="743">
        <f t="shared" ref="K30" si="12">E30</f>
        <v>7780000</v>
      </c>
      <c r="L30" s="424"/>
      <c r="M30" s="38"/>
      <c r="N30" s="38"/>
      <c r="O30" s="38"/>
      <c r="P30" s="38"/>
      <c r="Q30" s="38"/>
      <c r="R30" s="38"/>
      <c r="S30" s="38"/>
      <c r="T30" s="38"/>
      <c r="U30" s="38"/>
      <c r="V30" s="38"/>
      <c r="W30" s="38"/>
    </row>
    <row r="31" spans="1:23"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row>
    <row r="32" spans="1:23" ht="11.25" customHeight="1" x14ac:dyDescent="0.25">
      <c r="A32" s="407" t="str">
        <f>'Org structure'!E49</f>
        <v>5.3 - Roads and Transportation</v>
      </c>
      <c r="B32" s="445"/>
      <c r="C32" s="739">
        <v>297722791.07999998</v>
      </c>
      <c r="D32" s="740">
        <v>55700000</v>
      </c>
      <c r="E32" s="741"/>
      <c r="F32" s="742">
        <v>13596038.59</v>
      </c>
      <c r="G32" s="741">
        <v>192872435.47</v>
      </c>
      <c r="H32" s="742"/>
      <c r="I32" s="44">
        <f t="shared" si="1"/>
        <v>192872435.47</v>
      </c>
      <c r="J32" s="330" t="e">
        <f t="shared" si="2"/>
        <v>#DIV/0!</v>
      </c>
      <c r="K32" s="743"/>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v>23368737</v>
      </c>
      <c r="D33" s="740">
        <v>112755000</v>
      </c>
      <c r="E33" s="741"/>
      <c r="F33" s="742">
        <v>11359190.279999999</v>
      </c>
      <c r="G33" s="741">
        <v>118599052.3</v>
      </c>
      <c r="H33" s="742"/>
      <c r="I33" s="44">
        <f t="shared" si="1"/>
        <v>118599052.3</v>
      </c>
      <c r="J33" s="330" t="e">
        <f t="shared" si="2"/>
        <v>#DIV/0!</v>
      </c>
      <c r="K33" s="743"/>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13">SUM(C36:C45)</f>
        <v>109767844.09</v>
      </c>
      <c r="D35" s="444">
        <f t="shared" si="13"/>
        <v>300600156</v>
      </c>
      <c r="E35" s="441">
        <f t="shared" si="13"/>
        <v>319509531.77999997</v>
      </c>
      <c r="F35" s="443">
        <f t="shared" si="13"/>
        <v>3185552.7600000002</v>
      </c>
      <c r="G35" s="441">
        <f t="shared" si="13"/>
        <v>50252282.710000001</v>
      </c>
      <c r="H35" s="443">
        <f t="shared" si="13"/>
        <v>292883737.46499997</v>
      </c>
      <c r="I35" s="44">
        <f t="shared" si="1"/>
        <v>-242631454.75499997</v>
      </c>
      <c r="J35" s="330">
        <f t="shared" si="2"/>
        <v>-0.82842242063369864</v>
      </c>
      <c r="K35" s="442">
        <f>SUM(K36:K45)</f>
        <v>319509531.77999997</v>
      </c>
      <c r="L35" s="424"/>
      <c r="M35" s="38"/>
      <c r="N35" s="38"/>
      <c r="O35" s="38"/>
      <c r="P35" s="38"/>
      <c r="Q35" s="38"/>
      <c r="R35" s="38"/>
      <c r="S35" s="38"/>
      <c r="T35" s="38"/>
      <c r="U35" s="38"/>
      <c r="V35" s="38"/>
      <c r="W35" s="38"/>
    </row>
    <row r="36" spans="1:23" ht="11.25" customHeight="1" x14ac:dyDescent="0.25">
      <c r="A36" s="407" t="str">
        <f>'Org structure'!E58</f>
        <v>6.1 - City Entities</v>
      </c>
      <c r="B36" s="445"/>
      <c r="C36" s="739">
        <v>8711868.0899999999</v>
      </c>
      <c r="D36" s="740">
        <v>10212000</v>
      </c>
      <c r="E36" s="741">
        <v>2500000</v>
      </c>
      <c r="F36" s="742"/>
      <c r="G36" s="741"/>
      <c r="H36" s="742">
        <f t="shared" ref="H36:H39" si="14">E36/12*11</f>
        <v>2291666.666666667</v>
      </c>
      <c r="I36" s="44">
        <f t="shared" si="1"/>
        <v>-2291666.666666667</v>
      </c>
      <c r="J36" s="330">
        <f t="shared" si="2"/>
        <v>-1</v>
      </c>
      <c r="K36" s="743">
        <f t="shared" ref="K36:K39" si="15">E36</f>
        <v>2500000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v>10337001</v>
      </c>
      <c r="D37" s="740">
        <v>35000000</v>
      </c>
      <c r="E37" s="741">
        <v>20224298</v>
      </c>
      <c r="F37" s="742"/>
      <c r="G37" s="741"/>
      <c r="H37" s="742">
        <f t="shared" si="14"/>
        <v>18538939.833333336</v>
      </c>
      <c r="I37" s="44">
        <f t="shared" si="1"/>
        <v>-18538939.833333336</v>
      </c>
      <c r="J37" s="330">
        <f t="shared" si="2"/>
        <v>-1</v>
      </c>
      <c r="K37" s="743">
        <f t="shared" si="15"/>
        <v>20224298</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v>66874142</v>
      </c>
      <c r="D38" s="740">
        <v>255388156</v>
      </c>
      <c r="E38" s="741">
        <v>279353166.77999997</v>
      </c>
      <c r="F38" s="742">
        <v>2584524.91</v>
      </c>
      <c r="G38" s="741">
        <v>48063021.57</v>
      </c>
      <c r="H38" s="742">
        <f t="shared" si="14"/>
        <v>256073736.21499997</v>
      </c>
      <c r="I38" s="44">
        <f t="shared" si="1"/>
        <v>-208010714.64499998</v>
      </c>
      <c r="J38" s="330">
        <f t="shared" si="2"/>
        <v>-0.81230788334479487</v>
      </c>
      <c r="K38" s="743">
        <f t="shared" si="15"/>
        <v>279353166.77999997</v>
      </c>
      <c r="L38" s="424"/>
      <c r="M38" s="38"/>
      <c r="N38" s="38"/>
      <c r="O38" s="38"/>
      <c r="P38" s="38"/>
      <c r="Q38" s="38"/>
      <c r="R38" s="38"/>
      <c r="S38" s="38"/>
      <c r="T38" s="38"/>
      <c r="U38" s="38"/>
      <c r="V38" s="38"/>
      <c r="W38" s="38"/>
    </row>
    <row r="39" spans="1:23" ht="11.25" customHeight="1" x14ac:dyDescent="0.25">
      <c r="A39" s="407" t="str">
        <f>'Org structure'!E61</f>
        <v>6.4 - Town Planning</v>
      </c>
      <c r="B39" s="445"/>
      <c r="C39" s="739">
        <v>23844833</v>
      </c>
      <c r="D39" s="740"/>
      <c r="E39" s="741">
        <v>17432067</v>
      </c>
      <c r="F39" s="742">
        <v>601027.85</v>
      </c>
      <c r="G39" s="741">
        <v>2189261.14</v>
      </c>
      <c r="H39" s="742">
        <f t="shared" si="14"/>
        <v>15979394.75</v>
      </c>
      <c r="I39" s="44">
        <f t="shared" si="1"/>
        <v>-13790133.609999999</v>
      </c>
      <c r="J39" s="330">
        <f t="shared" si="2"/>
        <v>-0.86299473952228378</v>
      </c>
      <c r="K39" s="743">
        <f t="shared" si="15"/>
        <v>17432067</v>
      </c>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6">G44-H44</f>
        <v>0</v>
      </c>
      <c r="J44" s="330" t="str">
        <f t="shared" ref="J44:J107" si="17">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6"/>
        <v>0</v>
      </c>
      <c r="J45" s="330" t="str">
        <f t="shared" si="17"/>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8">SUM(C47:C56)</f>
        <v>0</v>
      </c>
      <c r="D46" s="444">
        <f t="shared" si="18"/>
        <v>0</v>
      </c>
      <c r="E46" s="441">
        <f t="shared" si="18"/>
        <v>0</v>
      </c>
      <c r="F46" s="443">
        <f t="shared" si="18"/>
        <v>0</v>
      </c>
      <c r="G46" s="441">
        <f t="shared" si="18"/>
        <v>0</v>
      </c>
      <c r="H46" s="443">
        <f t="shared" si="18"/>
        <v>0</v>
      </c>
      <c r="I46" s="44">
        <f t="shared" si="16"/>
        <v>0</v>
      </c>
      <c r="J46" s="330" t="str">
        <f t="shared" si="17"/>
        <v/>
      </c>
      <c r="K46" s="442">
        <f t="shared" si="18"/>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6"/>
        <v>0</v>
      </c>
      <c r="J47" s="330" t="str">
        <f t="shared" si="17"/>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6"/>
        <v>0</v>
      </c>
      <c r="J48" s="330" t="str">
        <f t="shared" si="17"/>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6"/>
        <v>0</v>
      </c>
      <c r="J49" s="330" t="str">
        <f t="shared" si="17"/>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6"/>
        <v>0</v>
      </c>
      <c r="J50" s="330" t="str">
        <f t="shared" si="17"/>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6"/>
        <v>0</v>
      </c>
      <c r="J51" s="330" t="str">
        <f t="shared" si="17"/>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6"/>
        <v>0</v>
      </c>
      <c r="J52" s="330" t="str">
        <f t="shared" si="17"/>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6"/>
        <v>0</v>
      </c>
      <c r="J53" s="330" t="str">
        <f t="shared" si="17"/>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6"/>
        <v>0</v>
      </c>
      <c r="J54" s="330" t="str">
        <f t="shared" si="17"/>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6"/>
        <v>0</v>
      </c>
      <c r="J55" s="330" t="str">
        <f t="shared" si="17"/>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6"/>
        <v>0</v>
      </c>
      <c r="J56" s="330" t="str">
        <f t="shared" si="17"/>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9">SUM(D58:D67)</f>
        <v>0</v>
      </c>
      <c r="E57" s="441">
        <f t="shared" si="19"/>
        <v>0</v>
      </c>
      <c r="F57" s="443">
        <f t="shared" si="19"/>
        <v>0</v>
      </c>
      <c r="G57" s="441">
        <f t="shared" si="19"/>
        <v>0</v>
      </c>
      <c r="H57" s="443">
        <f t="shared" si="19"/>
        <v>0</v>
      </c>
      <c r="I57" s="44">
        <f t="shared" si="16"/>
        <v>0</v>
      </c>
      <c r="J57" s="330" t="str">
        <f t="shared" si="17"/>
        <v/>
      </c>
      <c r="K57" s="442">
        <f t="shared" si="19"/>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6"/>
        <v>0</v>
      </c>
      <c r="J58" s="330" t="str">
        <f t="shared" si="17"/>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6"/>
        <v>0</v>
      </c>
      <c r="J59" s="330" t="str">
        <f t="shared" si="17"/>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6"/>
        <v>0</v>
      </c>
      <c r="J60" s="330" t="str">
        <f t="shared" si="17"/>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6"/>
        <v>0</v>
      </c>
      <c r="J61" s="330" t="str">
        <f t="shared" si="17"/>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6"/>
        <v>0</v>
      </c>
      <c r="J62" s="330" t="str">
        <f t="shared" si="17"/>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6"/>
        <v>0</v>
      </c>
      <c r="J63" s="330" t="str">
        <f t="shared" si="17"/>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6"/>
        <v>0</v>
      </c>
      <c r="J64" s="330" t="str">
        <f t="shared" si="17"/>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6"/>
        <v>0</v>
      </c>
      <c r="J65" s="330" t="str">
        <f t="shared" si="17"/>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6"/>
        <v>0</v>
      </c>
      <c r="J66" s="330" t="str">
        <f t="shared" si="17"/>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6"/>
        <v>0</v>
      </c>
      <c r="J67" s="330" t="str">
        <f t="shared" si="17"/>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20">SUM(D69:D78)</f>
        <v>0</v>
      </c>
      <c r="E68" s="441">
        <f t="shared" si="20"/>
        <v>0</v>
      </c>
      <c r="F68" s="443">
        <f t="shared" si="20"/>
        <v>0</v>
      </c>
      <c r="G68" s="441">
        <f t="shared" si="20"/>
        <v>0</v>
      </c>
      <c r="H68" s="443">
        <f t="shared" si="20"/>
        <v>0</v>
      </c>
      <c r="I68" s="44">
        <f t="shared" si="16"/>
        <v>0</v>
      </c>
      <c r="J68" s="330" t="str">
        <f t="shared" si="17"/>
        <v/>
      </c>
      <c r="K68" s="442">
        <f t="shared" si="20"/>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6"/>
        <v>0</v>
      </c>
      <c r="J69" s="330" t="str">
        <f t="shared" si="17"/>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6"/>
        <v>0</v>
      </c>
      <c r="J70" s="330" t="str">
        <f t="shared" si="17"/>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6"/>
        <v>0</v>
      </c>
      <c r="J71" s="330" t="str">
        <f t="shared" si="17"/>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6"/>
        <v>0</v>
      </c>
      <c r="J72" s="330" t="str">
        <f t="shared" si="17"/>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6"/>
        <v>0</v>
      </c>
      <c r="J73" s="330" t="str">
        <f t="shared" si="17"/>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6"/>
        <v>0</v>
      </c>
      <c r="J74" s="330" t="str">
        <f t="shared" si="17"/>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6"/>
        <v>0</v>
      </c>
      <c r="J75" s="330" t="str">
        <f t="shared" si="17"/>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6"/>
        <v>0</v>
      </c>
      <c r="J76" s="330" t="str">
        <f t="shared" si="17"/>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6"/>
        <v>0</v>
      </c>
      <c r="J77" s="330" t="str">
        <f t="shared" si="17"/>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6"/>
        <v>0</v>
      </c>
      <c r="J78" s="330" t="str">
        <f t="shared" si="17"/>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21">SUM(D80:D89)</f>
        <v>0</v>
      </c>
      <c r="E79" s="441">
        <f t="shared" si="21"/>
        <v>0</v>
      </c>
      <c r="F79" s="443">
        <f t="shared" si="21"/>
        <v>0</v>
      </c>
      <c r="G79" s="441">
        <f t="shared" si="21"/>
        <v>0</v>
      </c>
      <c r="H79" s="443">
        <f t="shared" si="21"/>
        <v>0</v>
      </c>
      <c r="I79" s="44">
        <f t="shared" si="16"/>
        <v>0</v>
      </c>
      <c r="J79" s="330" t="str">
        <f t="shared" si="17"/>
        <v/>
      </c>
      <c r="K79" s="442">
        <f t="shared" si="21"/>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6"/>
        <v>0</v>
      </c>
      <c r="J80" s="330" t="str">
        <f t="shared" si="17"/>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6"/>
        <v>0</v>
      </c>
      <c r="J81" s="330" t="str">
        <f t="shared" si="17"/>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6"/>
        <v>0</v>
      </c>
      <c r="J82" s="330" t="str">
        <f t="shared" si="17"/>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6"/>
        <v>0</v>
      </c>
      <c r="J83" s="330" t="str">
        <f t="shared" si="17"/>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6"/>
        <v>0</v>
      </c>
      <c r="J84" s="330" t="str">
        <f t="shared" si="17"/>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6"/>
        <v>0</v>
      </c>
      <c r="J85" s="330" t="str">
        <f t="shared" si="17"/>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6"/>
        <v>0</v>
      </c>
      <c r="J86" s="330" t="str">
        <f t="shared" si="17"/>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6"/>
        <v>0</v>
      </c>
      <c r="J87" s="330" t="str">
        <f t="shared" si="17"/>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6"/>
        <v>0</v>
      </c>
      <c r="J88" s="330" t="str">
        <f t="shared" si="17"/>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6"/>
        <v>0</v>
      </c>
      <c r="J89" s="330" t="str">
        <f t="shared" si="17"/>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22">SUM(D91:D100)</f>
        <v>0</v>
      </c>
      <c r="E90" s="441">
        <f t="shared" si="22"/>
        <v>0</v>
      </c>
      <c r="F90" s="443">
        <f t="shared" si="22"/>
        <v>0</v>
      </c>
      <c r="G90" s="441">
        <f t="shared" si="22"/>
        <v>0</v>
      </c>
      <c r="H90" s="443">
        <f t="shared" si="22"/>
        <v>0</v>
      </c>
      <c r="I90" s="44">
        <f t="shared" si="16"/>
        <v>0</v>
      </c>
      <c r="J90" s="330" t="str">
        <f t="shared" si="17"/>
        <v/>
      </c>
      <c r="K90" s="442">
        <f t="shared" si="22"/>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6"/>
        <v>0</v>
      </c>
      <c r="J91" s="330" t="str">
        <f t="shared" si="17"/>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6"/>
        <v>0</v>
      </c>
      <c r="J92" s="330" t="str">
        <f t="shared" si="17"/>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6"/>
        <v>0</v>
      </c>
      <c r="J93" s="330" t="str">
        <f t="shared" si="17"/>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6"/>
        <v>0</v>
      </c>
      <c r="J94" s="330" t="str">
        <f t="shared" si="17"/>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6"/>
        <v>0</v>
      </c>
      <c r="J95" s="330" t="str">
        <f t="shared" si="17"/>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6"/>
        <v>0</v>
      </c>
      <c r="J96" s="330" t="str">
        <f t="shared" si="17"/>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6"/>
        <v>0</v>
      </c>
      <c r="J97" s="330" t="str">
        <f t="shared" si="17"/>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6"/>
        <v>0</v>
      </c>
      <c r="J98" s="330" t="str">
        <f t="shared" si="17"/>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6"/>
        <v>0</v>
      </c>
      <c r="J99" s="330" t="str">
        <f t="shared" si="17"/>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6"/>
        <v>0</v>
      </c>
      <c r="J100" s="330" t="str">
        <f t="shared" si="17"/>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23">SUM(D102:D111)</f>
        <v>0</v>
      </c>
      <c r="E101" s="441">
        <f t="shared" si="23"/>
        <v>0</v>
      </c>
      <c r="F101" s="443">
        <f t="shared" si="23"/>
        <v>0</v>
      </c>
      <c r="G101" s="441">
        <f t="shared" si="23"/>
        <v>0</v>
      </c>
      <c r="H101" s="443">
        <f t="shared" si="23"/>
        <v>0</v>
      </c>
      <c r="I101" s="44">
        <f t="shared" si="16"/>
        <v>0</v>
      </c>
      <c r="J101" s="330" t="str">
        <f t="shared" si="17"/>
        <v/>
      </c>
      <c r="K101" s="442">
        <f t="shared" si="23"/>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6"/>
        <v>0</v>
      </c>
      <c r="J102" s="330" t="str">
        <f t="shared" si="17"/>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6"/>
        <v>0</v>
      </c>
      <c r="J103" s="330" t="str">
        <f t="shared" si="17"/>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6"/>
        <v>0</v>
      </c>
      <c r="J104" s="330" t="str">
        <f t="shared" si="17"/>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6"/>
        <v>0</v>
      </c>
      <c r="J105" s="330" t="str">
        <f t="shared" si="17"/>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6"/>
        <v>0</v>
      </c>
      <c r="J106" s="330" t="str">
        <f t="shared" si="17"/>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6"/>
        <v>0</v>
      </c>
      <c r="J107" s="330" t="str">
        <f t="shared" si="17"/>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24">G108-H108</f>
        <v>0</v>
      </c>
      <c r="J108" s="330" t="str">
        <f t="shared" ref="J108:J172" si="25">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24"/>
        <v>0</v>
      </c>
      <c r="J109" s="330" t="str">
        <f t="shared" si="25"/>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24"/>
        <v>0</v>
      </c>
      <c r="J110" s="330" t="str">
        <f t="shared" si="25"/>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24"/>
        <v>0</v>
      </c>
      <c r="J111" s="330" t="str">
        <f t="shared" si="25"/>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6">SUM(D113:D122)</f>
        <v>0</v>
      </c>
      <c r="E112" s="441">
        <f t="shared" si="26"/>
        <v>0</v>
      </c>
      <c r="F112" s="443">
        <f t="shared" si="26"/>
        <v>0</v>
      </c>
      <c r="G112" s="441">
        <f t="shared" si="26"/>
        <v>0</v>
      </c>
      <c r="H112" s="443">
        <f t="shared" si="26"/>
        <v>0</v>
      </c>
      <c r="I112" s="44">
        <f t="shared" si="24"/>
        <v>0</v>
      </c>
      <c r="J112" s="330" t="str">
        <f t="shared" si="25"/>
        <v/>
      </c>
      <c r="K112" s="442">
        <f t="shared" si="26"/>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24"/>
        <v>0</v>
      </c>
      <c r="J113" s="330" t="str">
        <f t="shared" si="25"/>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24"/>
        <v>0</v>
      </c>
      <c r="J114" s="330" t="str">
        <f t="shared" si="25"/>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24"/>
        <v>0</v>
      </c>
      <c r="J115" s="330" t="str">
        <f t="shared" si="25"/>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24"/>
        <v>0</v>
      </c>
      <c r="J116" s="330" t="str">
        <f t="shared" si="25"/>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24"/>
        <v>0</v>
      </c>
      <c r="J117" s="330" t="str">
        <f t="shared" si="25"/>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24"/>
        <v>0</v>
      </c>
      <c r="J118" s="330" t="str">
        <f t="shared" si="25"/>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24"/>
        <v>0</v>
      </c>
      <c r="J119" s="330" t="str">
        <f t="shared" si="25"/>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24"/>
        <v>0</v>
      </c>
      <c r="J120" s="330" t="str">
        <f t="shared" si="25"/>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24"/>
        <v>0</v>
      </c>
      <c r="J121" s="330" t="str">
        <f t="shared" si="25"/>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24"/>
        <v>0</v>
      </c>
      <c r="J122" s="330" t="str">
        <f t="shared" si="25"/>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7">SUM(D124:D133)</f>
        <v>0</v>
      </c>
      <c r="E123" s="441">
        <f t="shared" si="27"/>
        <v>0</v>
      </c>
      <c r="F123" s="443">
        <f t="shared" si="27"/>
        <v>0</v>
      </c>
      <c r="G123" s="441">
        <f t="shared" si="27"/>
        <v>0</v>
      </c>
      <c r="H123" s="443">
        <f t="shared" si="27"/>
        <v>0</v>
      </c>
      <c r="I123" s="44">
        <f t="shared" si="24"/>
        <v>0</v>
      </c>
      <c r="J123" s="330" t="str">
        <f t="shared" si="25"/>
        <v/>
      </c>
      <c r="K123" s="442">
        <f t="shared" si="27"/>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24"/>
        <v>0</v>
      </c>
      <c r="J124" s="330" t="str">
        <f t="shared" si="25"/>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24"/>
        <v>0</v>
      </c>
      <c r="J125" s="330" t="str">
        <f t="shared" si="25"/>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24"/>
        <v>0</v>
      </c>
      <c r="J126" s="330" t="str">
        <f t="shared" si="25"/>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24"/>
        <v>0</v>
      </c>
      <c r="J127" s="330" t="str">
        <f t="shared" si="25"/>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24"/>
        <v>0</v>
      </c>
      <c r="J128" s="330" t="str">
        <f t="shared" si="25"/>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24"/>
        <v>0</v>
      </c>
      <c r="J129" s="330" t="str">
        <f t="shared" si="25"/>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24"/>
        <v>0</v>
      </c>
      <c r="J130" s="330" t="str">
        <f t="shared" si="25"/>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24"/>
        <v>0</v>
      </c>
      <c r="J131" s="330" t="str">
        <f t="shared" si="25"/>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24"/>
        <v>0</v>
      </c>
      <c r="J132" s="330" t="str">
        <f t="shared" si="25"/>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24"/>
        <v>0</v>
      </c>
      <c r="J133" s="330" t="str">
        <f t="shared" si="25"/>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8">SUM(D135:D144)</f>
        <v>0</v>
      </c>
      <c r="E134" s="441">
        <f t="shared" si="28"/>
        <v>0</v>
      </c>
      <c r="F134" s="443">
        <f t="shared" si="28"/>
        <v>0</v>
      </c>
      <c r="G134" s="441">
        <f t="shared" si="28"/>
        <v>0</v>
      </c>
      <c r="H134" s="443">
        <f t="shared" si="28"/>
        <v>0</v>
      </c>
      <c r="I134" s="44">
        <f t="shared" si="24"/>
        <v>0</v>
      </c>
      <c r="J134" s="330" t="str">
        <f t="shared" si="25"/>
        <v/>
      </c>
      <c r="K134" s="442">
        <f t="shared" si="28"/>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24"/>
        <v>0</v>
      </c>
      <c r="J135" s="330" t="str">
        <f t="shared" si="25"/>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24"/>
        <v>0</v>
      </c>
      <c r="J136" s="330" t="str">
        <f t="shared" si="25"/>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24"/>
        <v>0</v>
      </c>
      <c r="J137" s="330" t="str">
        <f t="shared" si="25"/>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24"/>
        <v>0</v>
      </c>
      <c r="J138" s="330" t="str">
        <f t="shared" si="25"/>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24"/>
        <v>0</v>
      </c>
      <c r="J139" s="330" t="str">
        <f t="shared" si="25"/>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24"/>
        <v>0</v>
      </c>
      <c r="J140" s="330" t="str">
        <f t="shared" si="25"/>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24"/>
        <v>0</v>
      </c>
      <c r="J141" s="330" t="str">
        <f t="shared" si="25"/>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24"/>
        <v>0</v>
      </c>
      <c r="J142" s="330" t="str">
        <f t="shared" si="25"/>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24"/>
        <v>0</v>
      </c>
      <c r="J143" s="330" t="str">
        <f t="shared" si="25"/>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24"/>
        <v>0</v>
      </c>
      <c r="J144" s="330" t="str">
        <f t="shared" si="25"/>
        <v/>
      </c>
      <c r="K144" s="743"/>
      <c r="L144" s="452">
        <f t="shared" ref="L144:W144" si="29">SUM(L52:L55)</f>
        <v>0</v>
      </c>
      <c r="M144" s="453">
        <f t="shared" si="29"/>
        <v>0</v>
      </c>
      <c r="N144" s="453">
        <f t="shared" si="29"/>
        <v>0</v>
      </c>
      <c r="O144" s="453">
        <f t="shared" si="29"/>
        <v>0</v>
      </c>
      <c r="P144" s="453">
        <f t="shared" si="29"/>
        <v>0</v>
      </c>
      <c r="Q144" s="453">
        <f t="shared" si="29"/>
        <v>0</v>
      </c>
      <c r="R144" s="453">
        <f t="shared" si="29"/>
        <v>0</v>
      </c>
      <c r="S144" s="453">
        <f t="shared" si="29"/>
        <v>0</v>
      </c>
      <c r="T144" s="453">
        <f t="shared" si="29"/>
        <v>0</v>
      </c>
      <c r="U144" s="453">
        <f t="shared" si="29"/>
        <v>0</v>
      </c>
      <c r="V144" s="453">
        <f t="shared" si="29"/>
        <v>0</v>
      </c>
      <c r="W144" s="453">
        <f t="shared" si="29"/>
        <v>0</v>
      </c>
    </row>
    <row r="145" spans="1:23" ht="12.75" customHeight="1" x14ac:dyDescent="0.25">
      <c r="A145" s="447" t="s">
        <v>798</v>
      </c>
      <c r="B145" s="415"/>
      <c r="C145" s="504">
        <f>C7+C12+C18+C23+C29+C35+C46+C57+C68+C79+C90+C101+C112+C123+C134</f>
        <v>479855222.16999996</v>
      </c>
      <c r="D145" s="451">
        <f>D7+D12+D18+D23+D29+D35</f>
        <v>509167581</v>
      </c>
      <c r="E145" s="448">
        <f>E7+E12+E18+E23+E29+E35+E46+E57+E68+E79+E90+E101+E112+E123+E134</f>
        <v>382399571.77999997</v>
      </c>
      <c r="F145" s="450">
        <f>F7+F12+F18+F23+F29+F35+F46+F57+F68+F79+F90+F101+F112+F123+F134</f>
        <v>30461887.27</v>
      </c>
      <c r="G145" s="448">
        <f>G7+G12+G18+G23+G29+G35+G46+G57+G68+G79+G90+G101+G112+G123+G134</f>
        <v>381825574.12</v>
      </c>
      <c r="H145" s="450">
        <f>H7+H12+H18+H23+H29+H35+H46+H57+H68+H79+H90+H101+H112+H123+H134</f>
        <v>350532940.79833329</v>
      </c>
      <c r="I145" s="514">
        <f t="shared" si="24"/>
        <v>31292633.321666718</v>
      </c>
      <c r="J145" s="515">
        <f t="shared" si="25"/>
        <v>8.9271590996264819E-2</v>
      </c>
      <c r="K145" s="449">
        <f>K7+K12+K18+K23+K29+K35+K46+K57+K68+K79+K90+K101+K112+K123+K134</f>
        <v>382399571.77999997</v>
      </c>
      <c r="L145" s="446"/>
      <c r="M145" s="40"/>
      <c r="N145" s="40"/>
      <c r="O145" s="40"/>
      <c r="P145" s="40"/>
      <c r="Q145" s="40"/>
      <c r="R145" s="40"/>
      <c r="S145" s="40"/>
      <c r="T145" s="40"/>
      <c r="U145" s="40"/>
      <c r="V145" s="40"/>
      <c r="W145" s="40"/>
    </row>
    <row r="146" spans="1:23" ht="3" customHeight="1" x14ac:dyDescent="0.25">
      <c r="A146" s="454"/>
      <c r="B146" s="455"/>
      <c r="C146" s="505"/>
      <c r="D146" s="459"/>
      <c r="E146" s="456"/>
      <c r="F146" s="458"/>
      <c r="G146" s="456"/>
      <c r="H146" s="458"/>
      <c r="I146" s="115">
        <f t="shared" si="24"/>
        <v>0</v>
      </c>
      <c r="J146" s="133" t="str">
        <f t="shared" si="25"/>
        <v/>
      </c>
      <c r="K146" s="457"/>
      <c r="L146" s="446"/>
      <c r="M146" s="40"/>
      <c r="N146" s="40"/>
      <c r="O146" s="40"/>
      <c r="P146" s="40"/>
      <c r="Q146" s="40"/>
      <c r="R146" s="40"/>
      <c r="S146" s="40"/>
      <c r="T146" s="40"/>
      <c r="U146" s="40"/>
      <c r="V146" s="40"/>
      <c r="W146" s="40"/>
    </row>
    <row r="147" spans="1:23"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3" ht="11.25" customHeight="1" x14ac:dyDescent="0.25">
      <c r="A148" s="35" t="s">
        <v>801</v>
      </c>
      <c r="B148" s="415">
        <v>1</v>
      </c>
      <c r="C148" s="704"/>
      <c r="D148" s="705"/>
      <c r="E148" s="706"/>
      <c r="F148" s="707"/>
      <c r="G148" s="706"/>
      <c r="H148" s="707"/>
      <c r="I148" s="44">
        <f t="shared" si="24"/>
        <v>0</v>
      </c>
      <c r="J148" s="330" t="str">
        <f t="shared" si="25"/>
        <v/>
      </c>
      <c r="K148" s="708"/>
      <c r="L148" s="446"/>
      <c r="M148" s="40"/>
      <c r="N148" s="40"/>
      <c r="O148" s="40"/>
      <c r="P148" s="40"/>
      <c r="Q148" s="40"/>
      <c r="R148" s="40"/>
      <c r="S148" s="40"/>
      <c r="T148" s="40"/>
      <c r="U148" s="40"/>
      <c r="V148" s="40"/>
      <c r="W148" s="40"/>
    </row>
    <row r="149" spans="1:23" ht="11.25" customHeight="1" x14ac:dyDescent="0.25">
      <c r="A149" s="466" t="str">
        <f>'Org structure'!A2</f>
        <v>Vote 1 - City Manager</v>
      </c>
      <c r="B149" s="467"/>
      <c r="C149" s="507">
        <f t="shared" ref="C149:K149" si="30">SUM(C150:C159)</f>
        <v>0</v>
      </c>
      <c r="D149" s="471">
        <f t="shared" si="30"/>
        <v>0</v>
      </c>
      <c r="E149" s="468">
        <f t="shared" si="30"/>
        <v>1500000</v>
      </c>
      <c r="F149" s="470">
        <f t="shared" si="30"/>
        <v>0</v>
      </c>
      <c r="G149" s="468">
        <f t="shared" si="30"/>
        <v>1409774.98</v>
      </c>
      <c r="H149" s="470">
        <f t="shared" si="30"/>
        <v>1375000.0000000002</v>
      </c>
      <c r="I149" s="44">
        <f t="shared" si="24"/>
        <v>34774.979999999749</v>
      </c>
      <c r="J149" s="330">
        <f t="shared" si="25"/>
        <v>2.529089454545436E-2</v>
      </c>
      <c r="K149" s="469">
        <f t="shared" si="30"/>
        <v>1500000</v>
      </c>
      <c r="L149" s="446"/>
      <c r="M149" s="40"/>
      <c r="N149" s="40"/>
      <c r="O149" s="40"/>
      <c r="P149" s="40"/>
      <c r="Q149" s="40"/>
      <c r="R149" s="40"/>
      <c r="S149" s="40"/>
      <c r="T149" s="40"/>
      <c r="U149" s="40"/>
      <c r="V149" s="40"/>
      <c r="W149" s="40"/>
    </row>
    <row r="150" spans="1:23" ht="11.25" customHeight="1" x14ac:dyDescent="0.25">
      <c r="A150" s="407" t="str">
        <f>'Org structure'!E3</f>
        <v>1.1 - Internal Audit and Compliance</v>
      </c>
      <c r="B150" s="445"/>
      <c r="C150" s="744"/>
      <c r="D150" s="745"/>
      <c r="E150" s="733"/>
      <c r="F150" s="746"/>
      <c r="G150" s="733"/>
      <c r="H150" s="746"/>
      <c r="I150" s="44">
        <f t="shared" si="24"/>
        <v>0</v>
      </c>
      <c r="J150" s="330" t="str">
        <f t="shared" si="25"/>
        <v/>
      </c>
      <c r="K150" s="747"/>
      <c r="L150" s="446"/>
      <c r="M150" s="40"/>
      <c r="N150" s="40"/>
      <c r="O150" s="40"/>
      <c r="P150" s="40"/>
      <c r="Q150" s="40"/>
      <c r="R150" s="40"/>
      <c r="S150" s="40"/>
      <c r="T150" s="40"/>
      <c r="U150" s="40"/>
      <c r="V150" s="40"/>
      <c r="W150" s="40"/>
    </row>
    <row r="151" spans="1:23" ht="11.25" customHeight="1" x14ac:dyDescent="0.25">
      <c r="A151" s="407" t="str">
        <f>'Org structure'!E4</f>
        <v>1.2 - Office of the City Manager</v>
      </c>
      <c r="B151" s="445"/>
      <c r="C151" s="744"/>
      <c r="D151" s="745"/>
      <c r="E151" s="733">
        <v>1310000</v>
      </c>
      <c r="F151" s="746"/>
      <c r="G151" s="733">
        <v>1409774.98</v>
      </c>
      <c r="H151" s="746">
        <f t="shared" ref="H151:H152" si="31">E151/12*11</f>
        <v>1200833.3333333335</v>
      </c>
      <c r="I151" s="44">
        <f t="shared" si="24"/>
        <v>208941.64666666649</v>
      </c>
      <c r="J151" s="330">
        <f t="shared" si="25"/>
        <v>0.17399720749479511</v>
      </c>
      <c r="K151" s="747">
        <f t="shared" ref="K151:K152" si="32">E151</f>
        <v>1310000</v>
      </c>
      <c r="L151" s="446"/>
      <c r="M151" s="40"/>
      <c r="N151" s="40"/>
      <c r="O151" s="40"/>
      <c r="P151" s="40"/>
      <c r="Q151" s="40"/>
      <c r="R151" s="40"/>
      <c r="S151" s="40"/>
      <c r="T151" s="40"/>
      <c r="U151" s="40"/>
      <c r="V151" s="40"/>
      <c r="W151" s="40"/>
    </row>
    <row r="152" spans="1:23" ht="11.25" customHeight="1" x14ac:dyDescent="0.25">
      <c r="A152" s="407" t="str">
        <f>'Org structure'!E5</f>
        <v>1.3 - Political Support</v>
      </c>
      <c r="B152" s="445"/>
      <c r="C152" s="744"/>
      <c r="D152" s="745"/>
      <c r="E152" s="733">
        <v>190000</v>
      </c>
      <c r="F152" s="746"/>
      <c r="G152" s="733"/>
      <c r="H152" s="746">
        <f t="shared" si="31"/>
        <v>174166.66666666669</v>
      </c>
      <c r="I152" s="44">
        <f t="shared" si="24"/>
        <v>-174166.66666666669</v>
      </c>
      <c r="J152" s="330">
        <f t="shared" si="25"/>
        <v>-1</v>
      </c>
      <c r="K152" s="747">
        <f t="shared" si="32"/>
        <v>190000</v>
      </c>
      <c r="L152" s="446"/>
      <c r="M152" s="40"/>
      <c r="N152" s="40"/>
      <c r="O152" s="40"/>
      <c r="P152" s="40"/>
      <c r="Q152" s="40"/>
      <c r="R152" s="40"/>
      <c r="S152" s="40"/>
      <c r="T152" s="40"/>
      <c r="U152" s="40"/>
      <c r="V152" s="40"/>
      <c r="W152" s="40"/>
    </row>
    <row r="153" spans="1:23" ht="11.25" customHeight="1" x14ac:dyDescent="0.25">
      <c r="A153" s="407" t="str">
        <f>'Org structure'!E6</f>
        <v>1.4 - Strategic Planning</v>
      </c>
      <c r="B153" s="445"/>
      <c r="C153" s="744"/>
      <c r="D153" s="745"/>
      <c r="E153" s="733"/>
      <c r="F153" s="746"/>
      <c r="G153" s="733"/>
      <c r="H153" s="746"/>
      <c r="I153" s="44">
        <f t="shared" si="24"/>
        <v>0</v>
      </c>
      <c r="J153" s="330" t="str">
        <f t="shared" si="25"/>
        <v/>
      </c>
      <c r="K153" s="747"/>
      <c r="L153" s="446"/>
      <c r="M153" s="40"/>
      <c r="N153" s="40"/>
      <c r="O153" s="40"/>
      <c r="P153" s="40"/>
      <c r="Q153" s="40"/>
      <c r="R153" s="40"/>
      <c r="S153" s="40"/>
      <c r="T153" s="40"/>
      <c r="U153" s="40"/>
      <c r="V153" s="40"/>
      <c r="W153" s="40"/>
    </row>
    <row r="154" spans="1:23" ht="11.25" hidden="1" customHeight="1" x14ac:dyDescent="0.25">
      <c r="A154" s="407">
        <f>'Org structure'!E7</f>
        <v>0</v>
      </c>
      <c r="B154" s="445"/>
      <c r="C154" s="744"/>
      <c r="D154" s="745"/>
      <c r="E154" s="733"/>
      <c r="F154" s="746"/>
      <c r="G154" s="733"/>
      <c r="H154" s="746"/>
      <c r="I154" s="44">
        <f t="shared" si="24"/>
        <v>0</v>
      </c>
      <c r="J154" s="330" t="str">
        <f t="shared" si="25"/>
        <v/>
      </c>
      <c r="K154" s="747"/>
      <c r="L154" s="446"/>
      <c r="M154" s="40"/>
      <c r="N154" s="40"/>
      <c r="O154" s="40"/>
      <c r="P154" s="40"/>
      <c r="Q154" s="40"/>
      <c r="R154" s="40"/>
      <c r="S154" s="40"/>
      <c r="T154" s="40"/>
      <c r="U154" s="40"/>
      <c r="V154" s="40"/>
      <c r="W154" s="40"/>
    </row>
    <row r="155" spans="1:23" ht="11.25" hidden="1" customHeight="1" x14ac:dyDescent="0.25">
      <c r="A155" s="407">
        <f>'Org structure'!E8</f>
        <v>0</v>
      </c>
      <c r="B155" s="445"/>
      <c r="C155" s="744"/>
      <c r="D155" s="745"/>
      <c r="E155" s="733"/>
      <c r="F155" s="746"/>
      <c r="G155" s="733"/>
      <c r="H155" s="746"/>
      <c r="I155" s="44">
        <f t="shared" si="24"/>
        <v>0</v>
      </c>
      <c r="J155" s="330" t="str">
        <f t="shared" si="25"/>
        <v/>
      </c>
      <c r="K155" s="747"/>
      <c r="L155" s="446"/>
      <c r="M155" s="40"/>
      <c r="N155" s="40"/>
      <c r="O155" s="40"/>
      <c r="P155" s="40"/>
      <c r="Q155" s="40"/>
      <c r="R155" s="40"/>
      <c r="S155" s="40"/>
      <c r="T155" s="40"/>
      <c r="U155" s="40"/>
      <c r="V155" s="40"/>
      <c r="W155" s="40"/>
    </row>
    <row r="156" spans="1:23" ht="11.25" hidden="1" customHeight="1" x14ac:dyDescent="0.25">
      <c r="A156" s="407">
        <f>'Org structure'!E9</f>
        <v>0</v>
      </c>
      <c r="B156" s="445"/>
      <c r="C156" s="744"/>
      <c r="D156" s="745"/>
      <c r="E156" s="733"/>
      <c r="F156" s="746"/>
      <c r="G156" s="733"/>
      <c r="H156" s="746"/>
      <c r="I156" s="44">
        <f t="shared" si="24"/>
        <v>0</v>
      </c>
      <c r="J156" s="330" t="str">
        <f t="shared" si="25"/>
        <v/>
      </c>
      <c r="K156" s="747"/>
      <c r="L156" s="446"/>
      <c r="M156" s="40"/>
      <c r="N156" s="40"/>
      <c r="O156" s="40"/>
      <c r="P156" s="40"/>
      <c r="Q156" s="40"/>
      <c r="R156" s="40"/>
      <c r="S156" s="40"/>
      <c r="T156" s="40"/>
      <c r="U156" s="40"/>
      <c r="V156" s="40"/>
      <c r="W156" s="40"/>
    </row>
    <row r="157" spans="1:23" ht="11.25" hidden="1" customHeight="1" x14ac:dyDescent="0.25">
      <c r="A157" s="407">
        <f>'Org structure'!E10</f>
        <v>0</v>
      </c>
      <c r="B157" s="445"/>
      <c r="C157" s="744"/>
      <c r="D157" s="745"/>
      <c r="E157" s="733"/>
      <c r="F157" s="746"/>
      <c r="G157" s="733"/>
      <c r="H157" s="746"/>
      <c r="I157" s="44">
        <f t="shared" si="24"/>
        <v>0</v>
      </c>
      <c r="J157" s="330" t="str">
        <f t="shared" si="25"/>
        <v/>
      </c>
      <c r="K157" s="747"/>
      <c r="L157" s="446"/>
      <c r="M157" s="40"/>
      <c r="N157" s="40"/>
      <c r="O157" s="40"/>
      <c r="P157" s="40"/>
      <c r="Q157" s="40"/>
      <c r="R157" s="40"/>
      <c r="S157" s="40"/>
      <c r="T157" s="40"/>
      <c r="U157" s="40"/>
      <c r="V157" s="40"/>
      <c r="W157" s="40"/>
    </row>
    <row r="158" spans="1:23" ht="11.25" hidden="1" customHeight="1" x14ac:dyDescent="0.25">
      <c r="A158" s="407">
        <f>'Org structure'!E11</f>
        <v>0</v>
      </c>
      <c r="B158" s="445"/>
      <c r="C158" s="744"/>
      <c r="D158" s="745"/>
      <c r="E158" s="733"/>
      <c r="F158" s="746"/>
      <c r="G158" s="733"/>
      <c r="H158" s="746"/>
      <c r="I158" s="44">
        <f t="shared" si="24"/>
        <v>0</v>
      </c>
      <c r="J158" s="330" t="str">
        <f t="shared" si="25"/>
        <v/>
      </c>
      <c r="K158" s="747"/>
      <c r="L158" s="446"/>
      <c r="M158" s="40"/>
      <c r="N158" s="40"/>
      <c r="O158" s="40"/>
      <c r="P158" s="40"/>
      <c r="Q158" s="40"/>
      <c r="R158" s="40"/>
      <c r="S158" s="40"/>
      <c r="T158" s="40"/>
      <c r="U158" s="40"/>
      <c r="V158" s="40"/>
      <c r="W158" s="40"/>
    </row>
    <row r="159" spans="1:23" ht="11.25" hidden="1" customHeight="1" x14ac:dyDescent="0.25">
      <c r="A159" s="407">
        <f>'Org structure'!E12</f>
        <v>0</v>
      </c>
      <c r="B159" s="445"/>
      <c r="C159" s="744"/>
      <c r="D159" s="745"/>
      <c r="E159" s="733"/>
      <c r="F159" s="746"/>
      <c r="G159" s="733"/>
      <c r="H159" s="746"/>
      <c r="I159" s="44">
        <f t="shared" si="24"/>
        <v>0</v>
      </c>
      <c r="J159" s="330" t="str">
        <f t="shared" si="25"/>
        <v/>
      </c>
      <c r="K159" s="747"/>
      <c r="L159" s="48"/>
      <c r="M159" s="473"/>
      <c r="N159" s="473"/>
      <c r="O159" s="473"/>
      <c r="P159" s="473"/>
      <c r="Q159" s="473"/>
      <c r="R159" s="473"/>
      <c r="S159" s="473"/>
      <c r="T159" s="473"/>
      <c r="U159" s="473"/>
      <c r="V159" s="473"/>
      <c r="W159" s="473"/>
    </row>
    <row r="160" spans="1:23" ht="11.25" customHeight="1" x14ac:dyDescent="0.25">
      <c r="A160" s="466" t="str">
        <f>'Org structure'!A3</f>
        <v>Vote 2 - City Finance</v>
      </c>
      <c r="B160" s="440"/>
      <c r="C160" s="503">
        <f>SUM(C161:C170)</f>
        <v>0</v>
      </c>
      <c r="D160" s="444">
        <f>SUM(D161:D170)</f>
        <v>15000000</v>
      </c>
      <c r="E160" s="441">
        <f t="shared" ref="E160:K160" si="33">SUM(E161:E170)</f>
        <v>27914416</v>
      </c>
      <c r="F160" s="443">
        <f t="shared" si="33"/>
        <v>2039884.32</v>
      </c>
      <c r="G160" s="441">
        <f t="shared" si="33"/>
        <v>3239324.8899999997</v>
      </c>
      <c r="H160" s="443">
        <f t="shared" si="33"/>
        <v>25588214.666666668</v>
      </c>
      <c r="I160" s="44">
        <f t="shared" si="24"/>
        <v>-22348889.776666667</v>
      </c>
      <c r="J160" s="330">
        <f t="shared" si="25"/>
        <v>-0.87340559190243883</v>
      </c>
      <c r="K160" s="442">
        <f t="shared" si="33"/>
        <v>27914416</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13500000</v>
      </c>
      <c r="F161" s="746">
        <v>2039884.32</v>
      </c>
      <c r="G161" s="733">
        <v>2039884.32</v>
      </c>
      <c r="H161" s="746">
        <f t="shared" ref="H161:H162" si="34">E161/12*11</f>
        <v>12375000</v>
      </c>
      <c r="I161" s="44">
        <f t="shared" si="24"/>
        <v>-10335115.68</v>
      </c>
      <c r="J161" s="330">
        <f t="shared" si="25"/>
        <v>-0.83516086303030301</v>
      </c>
      <c r="K161" s="747">
        <f>E161</f>
        <v>13500000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13879416</v>
      </c>
      <c r="F162" s="746"/>
      <c r="G162" s="733">
        <v>1175131.3199999998</v>
      </c>
      <c r="H162" s="746">
        <f t="shared" si="34"/>
        <v>12722798</v>
      </c>
      <c r="I162" s="44">
        <f t="shared" si="24"/>
        <v>-11547666.68</v>
      </c>
      <c r="J162" s="330">
        <f t="shared" si="25"/>
        <v>-0.90763577948812835</v>
      </c>
      <c r="K162" s="747">
        <f>E162</f>
        <v>13879416</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v>0</v>
      </c>
      <c r="F163" s="746"/>
      <c r="G163" s="733"/>
      <c r="H163" s="746"/>
      <c r="I163" s="44">
        <f t="shared" si="24"/>
        <v>0</v>
      </c>
      <c r="J163" s="330" t="str">
        <f t="shared" si="25"/>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v>0</v>
      </c>
      <c r="F164" s="746"/>
      <c r="G164" s="733"/>
      <c r="H164" s="746"/>
      <c r="I164" s="44">
        <f t="shared" si="24"/>
        <v>0</v>
      </c>
      <c r="J164" s="330" t="str">
        <f t="shared" si="25"/>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535000</v>
      </c>
      <c r="F165" s="746"/>
      <c r="G165" s="733">
        <v>24309.25</v>
      </c>
      <c r="H165" s="746">
        <f>E165/12*11</f>
        <v>490416.66666666669</v>
      </c>
      <c r="I165" s="44">
        <f t="shared" si="24"/>
        <v>-466107.41666666669</v>
      </c>
      <c r="J165" s="330">
        <f t="shared" si="25"/>
        <v>-0.9504314358538658</v>
      </c>
      <c r="K165" s="747">
        <f>E165</f>
        <v>535000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24"/>
        <v>0</v>
      </c>
      <c r="J166" s="330" t="str">
        <f t="shared" si="25"/>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24"/>
        <v>0</v>
      </c>
      <c r="J167" s="330" t="str">
        <f t="shared" si="25"/>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24"/>
        <v>0</v>
      </c>
      <c r="J168" s="330" t="str">
        <f t="shared" si="25"/>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24"/>
        <v>0</v>
      </c>
      <c r="J169" s="330" t="str">
        <f t="shared" si="25"/>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24"/>
        <v>0</v>
      </c>
      <c r="J170" s="330" t="str">
        <f t="shared" si="25"/>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35">SUM(C172:C181)</f>
        <v>0</v>
      </c>
      <c r="D171" s="444">
        <f t="shared" si="35"/>
        <v>13700000</v>
      </c>
      <c r="E171" s="441">
        <f t="shared" si="35"/>
        <v>19124760</v>
      </c>
      <c r="F171" s="443">
        <f t="shared" si="35"/>
        <v>119507.93</v>
      </c>
      <c r="G171" s="441">
        <f t="shared" si="35"/>
        <v>17016734.060000002</v>
      </c>
      <c r="H171" s="443">
        <f t="shared" si="35"/>
        <v>17531030</v>
      </c>
      <c r="I171" s="44">
        <f t="shared" si="24"/>
        <v>-514295.93999999762</v>
      </c>
      <c r="J171" s="330">
        <f t="shared" si="25"/>
        <v>-2.9336321938870542E-2</v>
      </c>
      <c r="K171" s="442">
        <f t="shared" si="35"/>
        <v>19124760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v>0</v>
      </c>
      <c r="F172" s="746"/>
      <c r="G172" s="733"/>
      <c r="H172" s="746"/>
      <c r="I172" s="44">
        <f t="shared" si="24"/>
        <v>0</v>
      </c>
      <c r="J172" s="330" t="str">
        <f t="shared" si="25"/>
        <v/>
      </c>
      <c r="K172" s="747">
        <f>E172</f>
        <v>0</v>
      </c>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v>2000000</v>
      </c>
      <c r="F173" s="746"/>
      <c r="G173" s="733"/>
      <c r="H173" s="746">
        <f t="shared" ref="H173:H175" si="36">E173/12*11</f>
        <v>1833333.3333333333</v>
      </c>
      <c r="I173" s="44">
        <f t="shared" ref="I173:I236" si="37">G173-H173</f>
        <v>-1833333.3333333333</v>
      </c>
      <c r="J173" s="330">
        <f t="shared" ref="J173:J236" si="38">IF(I173=0,"",I173/H173)</f>
        <v>-1</v>
      </c>
      <c r="K173" s="747">
        <f t="shared" ref="K173:K175" si="39">E173</f>
        <v>2000000</v>
      </c>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12162335</v>
      </c>
      <c r="F174" s="472"/>
      <c r="G174" s="384">
        <v>6522593.5</v>
      </c>
      <c r="H174" s="472">
        <f t="shared" si="36"/>
        <v>11148807.083333332</v>
      </c>
      <c r="I174" s="44">
        <f t="shared" si="37"/>
        <v>-4626213.5833333321</v>
      </c>
      <c r="J174" s="330">
        <f t="shared" si="38"/>
        <v>-0.41495144267490197</v>
      </c>
      <c r="K174" s="395">
        <f t="shared" si="39"/>
        <v>12162335</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4962425</v>
      </c>
      <c r="F175" s="472">
        <v>119507.93</v>
      </c>
      <c r="G175" s="384">
        <v>10494140.560000001</v>
      </c>
      <c r="H175" s="472">
        <f t="shared" si="36"/>
        <v>4548889.583333334</v>
      </c>
      <c r="I175" s="44">
        <f t="shared" si="37"/>
        <v>5945250.9766666666</v>
      </c>
      <c r="J175" s="330">
        <f t="shared" si="38"/>
        <v>1.3069675286138969</v>
      </c>
      <c r="K175" s="395">
        <f t="shared" si="39"/>
        <v>4962425</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37"/>
        <v>0</v>
      </c>
      <c r="J176" s="330" t="str">
        <f t="shared" si="38"/>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37"/>
        <v>0</v>
      </c>
      <c r="J177" s="330" t="str">
        <f t="shared" si="38"/>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37"/>
        <v>0</v>
      </c>
      <c r="J178" s="330" t="str">
        <f t="shared" si="38"/>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37"/>
        <v>0</v>
      </c>
      <c r="J179" s="330" t="str">
        <f t="shared" si="38"/>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37"/>
        <v>0</v>
      </c>
      <c r="J180" s="330" t="str">
        <f t="shared" si="38"/>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37"/>
        <v>0</v>
      </c>
      <c r="J181" s="330" t="str">
        <f t="shared" si="38"/>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40">SUM(C183:C192)</f>
        <v>0</v>
      </c>
      <c r="D182" s="444">
        <f t="shared" si="40"/>
        <v>0</v>
      </c>
      <c r="E182" s="441">
        <f t="shared" si="40"/>
        <v>530000</v>
      </c>
      <c r="F182" s="443">
        <f t="shared" si="40"/>
        <v>353977.97000000003</v>
      </c>
      <c r="G182" s="441">
        <f t="shared" si="40"/>
        <v>475363.80000000005</v>
      </c>
      <c r="H182" s="443">
        <f t="shared" si="40"/>
        <v>485833.33333333331</v>
      </c>
      <c r="I182" s="44">
        <f t="shared" si="37"/>
        <v>-10469.533333333267</v>
      </c>
      <c r="J182" s="330">
        <f t="shared" si="38"/>
        <v>-2.1549639794167959E-2</v>
      </c>
      <c r="K182" s="442">
        <f t="shared" si="40"/>
        <v>530000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c r="G183" s="384"/>
      <c r="H183" s="472"/>
      <c r="I183" s="44">
        <f t="shared" si="37"/>
        <v>0</v>
      </c>
      <c r="J183" s="330" t="str">
        <f t="shared" si="38"/>
        <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v>530000</v>
      </c>
      <c r="F184" s="472">
        <v>353977.97000000003</v>
      </c>
      <c r="G184" s="384">
        <v>475363.80000000005</v>
      </c>
      <c r="H184" s="472">
        <f>E184/12*11</f>
        <v>485833.33333333331</v>
      </c>
      <c r="I184" s="44">
        <f t="shared" si="37"/>
        <v>-10469.533333333267</v>
      </c>
      <c r="J184" s="330">
        <f t="shared" si="38"/>
        <v>-2.1549639794167959E-2</v>
      </c>
      <c r="K184" s="395">
        <f t="shared" ref="K184" si="41">E184</f>
        <v>530000</v>
      </c>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37"/>
        <v>0</v>
      </c>
      <c r="J185" s="330" t="str">
        <f t="shared" si="38"/>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37"/>
        <v>0</v>
      </c>
      <c r="J186" s="330" t="str">
        <f t="shared" si="38"/>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37"/>
        <v>0</v>
      </c>
      <c r="J187" s="330" t="str">
        <f t="shared" si="38"/>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37"/>
        <v>0</v>
      </c>
      <c r="J188" s="330" t="str">
        <f t="shared" si="38"/>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37"/>
        <v>0</v>
      </c>
      <c r="J189" s="330" t="str">
        <f t="shared" si="38"/>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37"/>
        <v>0</v>
      </c>
      <c r="J190" s="330" t="str">
        <f t="shared" si="38"/>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37"/>
        <v>0</v>
      </c>
      <c r="J191" s="330" t="str">
        <f t="shared" si="38"/>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37"/>
        <v>0</v>
      </c>
      <c r="J192" s="330" t="str">
        <f t="shared" si="38"/>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42">SUM(C194:C203)</f>
        <v>0</v>
      </c>
      <c r="D193" s="444">
        <f t="shared" si="42"/>
        <v>33000000</v>
      </c>
      <c r="E193" s="441">
        <f t="shared" si="42"/>
        <v>310123978</v>
      </c>
      <c r="F193" s="443">
        <f t="shared" si="42"/>
        <v>1158438.3500000001</v>
      </c>
      <c r="G193" s="441">
        <f t="shared" si="42"/>
        <v>10019494.700000001</v>
      </c>
      <c r="H193" s="443">
        <f t="shared" si="42"/>
        <v>284280313.16666669</v>
      </c>
      <c r="I193" s="44">
        <f t="shared" si="37"/>
        <v>-274260818.4666667</v>
      </c>
      <c r="J193" s="330">
        <f t="shared" si="38"/>
        <v>-0.96475487666243775</v>
      </c>
      <c r="K193" s="442">
        <f t="shared" si="42"/>
        <v>310123978</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8354330</v>
      </c>
      <c r="F194" s="472">
        <v>1158438.3500000001</v>
      </c>
      <c r="G194" s="384">
        <v>10019494.700000001</v>
      </c>
      <c r="H194" s="472">
        <f>E194/12*11</f>
        <v>7658135.833333333</v>
      </c>
      <c r="I194" s="44">
        <f t="shared" si="37"/>
        <v>2361358.8666666681</v>
      </c>
      <c r="J194" s="330">
        <f t="shared" si="38"/>
        <v>0.30834643287318747</v>
      </c>
      <c r="K194" s="395">
        <f>E194</f>
        <v>8354330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v>0</v>
      </c>
      <c r="F195" s="472"/>
      <c r="G195" s="384"/>
      <c r="H195" s="472"/>
      <c r="I195" s="44">
        <f t="shared" si="37"/>
        <v>0</v>
      </c>
      <c r="J195" s="330" t="str">
        <f t="shared" si="38"/>
        <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160009305</v>
      </c>
      <c r="F196" s="472"/>
      <c r="G196" s="384"/>
      <c r="H196" s="472">
        <f t="shared" ref="H196:H197" si="43">E196/12*11</f>
        <v>146675196.25</v>
      </c>
      <c r="I196" s="44">
        <f t="shared" si="37"/>
        <v>-146675196.25</v>
      </c>
      <c r="J196" s="330">
        <f t="shared" si="38"/>
        <v>-1</v>
      </c>
      <c r="K196" s="395">
        <f>E196</f>
        <v>160009305</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141760343</v>
      </c>
      <c r="F197" s="472"/>
      <c r="G197" s="384"/>
      <c r="H197" s="472">
        <f t="shared" si="43"/>
        <v>129946981.08333333</v>
      </c>
      <c r="I197" s="44">
        <f t="shared" si="37"/>
        <v>-129946981.08333333</v>
      </c>
      <c r="J197" s="330">
        <f t="shared" si="38"/>
        <v>-1</v>
      </c>
      <c r="K197" s="395">
        <f>E197</f>
        <v>141760343</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37"/>
        <v>0</v>
      </c>
      <c r="J198" s="330" t="str">
        <f t="shared" si="38"/>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37"/>
        <v>0</v>
      </c>
      <c r="J199" s="330" t="str">
        <f t="shared" si="38"/>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37"/>
        <v>0</v>
      </c>
      <c r="J200" s="330" t="str">
        <f t="shared" si="38"/>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37"/>
        <v>0</v>
      </c>
      <c r="J201" s="330" t="str">
        <f t="shared" si="38"/>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37"/>
        <v>0</v>
      </c>
      <c r="J202" s="330" t="str">
        <f t="shared" si="38"/>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37"/>
        <v>0</v>
      </c>
      <c r="J203" s="330" t="str">
        <f t="shared" si="38"/>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44">SUM(C205:C214)</f>
        <v>0</v>
      </c>
      <c r="D204" s="444">
        <f t="shared" si="44"/>
        <v>10024000</v>
      </c>
      <c r="E204" s="441">
        <f t="shared" si="44"/>
        <v>5597634</v>
      </c>
      <c r="F204" s="443">
        <f t="shared" si="44"/>
        <v>1092562.81</v>
      </c>
      <c r="G204" s="441">
        <f t="shared" si="44"/>
        <v>6506511.580000001</v>
      </c>
      <c r="H204" s="443">
        <f t="shared" si="44"/>
        <v>5131164.5</v>
      </c>
      <c r="I204" s="44">
        <f t="shared" si="37"/>
        <v>1375347.080000001</v>
      </c>
      <c r="J204" s="330">
        <f t="shared" si="38"/>
        <v>0.2680380018999588</v>
      </c>
      <c r="K204" s="442">
        <f t="shared" si="44"/>
        <v>5597634</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147634</v>
      </c>
      <c r="F205" s="472">
        <v>169480</v>
      </c>
      <c r="G205" s="384">
        <v>2482725.77</v>
      </c>
      <c r="H205" s="472">
        <f>E205/12*11</f>
        <v>135331.16666666669</v>
      </c>
      <c r="I205" s="44">
        <f t="shared" si="37"/>
        <v>2347394.6033333335</v>
      </c>
      <c r="J205" s="330">
        <f t="shared" si="38"/>
        <v>17.34555802001756</v>
      </c>
      <c r="K205" s="395">
        <f t="shared" ref="K205:K206" si="45">E205</f>
        <v>147634</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v>0</v>
      </c>
      <c r="F206" s="472">
        <v>923082.81</v>
      </c>
      <c r="G206" s="384">
        <v>3679483.46</v>
      </c>
      <c r="H206" s="472"/>
      <c r="I206" s="44">
        <f t="shared" si="37"/>
        <v>3679483.46</v>
      </c>
      <c r="J206" s="330" t="e">
        <f t="shared" si="38"/>
        <v>#DIV/0!</v>
      </c>
      <c r="K206" s="395">
        <f t="shared" si="45"/>
        <v>0</v>
      </c>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5250000</v>
      </c>
      <c r="F207" s="472"/>
      <c r="G207" s="384">
        <v>246566.7</v>
      </c>
      <c r="H207" s="472">
        <f t="shared" ref="H207:H208" si="46">E207/12*11</f>
        <v>4812500</v>
      </c>
      <c r="I207" s="44">
        <f t="shared" si="37"/>
        <v>-4565933.3</v>
      </c>
      <c r="J207" s="330">
        <f t="shared" si="38"/>
        <v>-0.94876536103896103</v>
      </c>
      <c r="K207" s="395">
        <f>E207</f>
        <v>5250000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v>200000</v>
      </c>
      <c r="F208" s="472"/>
      <c r="G208" s="384">
        <v>97735.65</v>
      </c>
      <c r="H208" s="472">
        <f t="shared" si="46"/>
        <v>183333.33333333334</v>
      </c>
      <c r="I208" s="44">
        <f t="shared" si="37"/>
        <v>-85597.683333333349</v>
      </c>
      <c r="J208" s="330">
        <f t="shared" si="38"/>
        <v>-0.46689645454545459</v>
      </c>
      <c r="K208" s="395">
        <f>E208</f>
        <v>200000</v>
      </c>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c r="I209" s="44">
        <f t="shared" si="37"/>
        <v>0</v>
      </c>
      <c r="J209" s="330" t="str">
        <f t="shared" si="38"/>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37"/>
        <v>0</v>
      </c>
      <c r="J210" s="330" t="str">
        <f t="shared" si="38"/>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37"/>
        <v>0</v>
      </c>
      <c r="J211" s="330" t="str">
        <f t="shared" si="38"/>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37"/>
        <v>0</v>
      </c>
      <c r="J212" s="330" t="str">
        <f t="shared" si="38"/>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37"/>
        <v>0</v>
      </c>
      <c r="J213" s="330" t="str">
        <f t="shared" si="38"/>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37"/>
        <v>0</v>
      </c>
      <c r="J214" s="330" t="str">
        <f t="shared" si="38"/>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47">SUM(C216:C225)</f>
        <v>0</v>
      </c>
      <c r="D215" s="444">
        <f t="shared" si="47"/>
        <v>0</v>
      </c>
      <c r="E215" s="441">
        <f t="shared" si="47"/>
        <v>0</v>
      </c>
      <c r="F215" s="443">
        <f t="shared" si="47"/>
        <v>0</v>
      </c>
      <c r="G215" s="441">
        <f t="shared" si="47"/>
        <v>0</v>
      </c>
      <c r="H215" s="443">
        <f t="shared" si="47"/>
        <v>0</v>
      </c>
      <c r="I215" s="44">
        <f t="shared" si="37"/>
        <v>0</v>
      </c>
      <c r="J215" s="330" t="str">
        <f t="shared" si="38"/>
        <v/>
      </c>
      <c r="K215" s="442">
        <f t="shared" si="47"/>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37"/>
        <v>0</v>
      </c>
      <c r="J216" s="330" t="str">
        <f t="shared" si="38"/>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37"/>
        <v>0</v>
      </c>
      <c r="J217" s="330" t="str">
        <f t="shared" si="38"/>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37"/>
        <v>0</v>
      </c>
      <c r="J218" s="330" t="str">
        <f t="shared" si="38"/>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37"/>
        <v>0</v>
      </c>
      <c r="J219" s="330" t="str">
        <f t="shared" si="38"/>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37"/>
        <v>0</v>
      </c>
      <c r="J220" s="330" t="str">
        <f t="shared" si="38"/>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37"/>
        <v>0</v>
      </c>
      <c r="J221" s="330" t="str">
        <f t="shared" si="38"/>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37"/>
        <v>0</v>
      </c>
      <c r="J222" s="330" t="str">
        <f t="shared" si="38"/>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37"/>
        <v>0</v>
      </c>
      <c r="J223" s="330" t="str">
        <f t="shared" si="38"/>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37"/>
        <v>0</v>
      </c>
      <c r="J224" s="330" t="str">
        <f t="shared" si="38"/>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37"/>
        <v>0</v>
      </c>
      <c r="J225" s="330" t="str">
        <f t="shared" si="38"/>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48">SUM(C227:C236)</f>
        <v>0</v>
      </c>
      <c r="D226" s="444">
        <f t="shared" si="48"/>
        <v>0</v>
      </c>
      <c r="E226" s="441">
        <f t="shared" si="48"/>
        <v>0</v>
      </c>
      <c r="F226" s="443">
        <f t="shared" si="48"/>
        <v>0</v>
      </c>
      <c r="G226" s="441">
        <f t="shared" si="48"/>
        <v>0</v>
      </c>
      <c r="H226" s="443">
        <f t="shared" si="48"/>
        <v>0</v>
      </c>
      <c r="I226" s="44">
        <f t="shared" si="37"/>
        <v>0</v>
      </c>
      <c r="J226" s="330" t="str">
        <f t="shared" si="38"/>
        <v/>
      </c>
      <c r="K226" s="442">
        <f t="shared" si="48"/>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37"/>
        <v>0</v>
      </c>
      <c r="J227" s="330" t="str">
        <f t="shared" si="38"/>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37"/>
        <v>0</v>
      </c>
      <c r="J228" s="330" t="str">
        <f t="shared" si="38"/>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37"/>
        <v>0</v>
      </c>
      <c r="J229" s="330" t="str">
        <f t="shared" si="38"/>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37"/>
        <v>0</v>
      </c>
      <c r="J230" s="330" t="str">
        <f t="shared" si="38"/>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37"/>
        <v>0</v>
      </c>
      <c r="J231" s="330" t="str">
        <f t="shared" si="38"/>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37"/>
        <v>0</v>
      </c>
      <c r="J232" s="330" t="str">
        <f t="shared" si="38"/>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37"/>
        <v>0</v>
      </c>
      <c r="J233" s="330" t="str">
        <f t="shared" si="38"/>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37"/>
        <v>0</v>
      </c>
      <c r="J234" s="330" t="str">
        <f t="shared" si="38"/>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37"/>
        <v>0</v>
      </c>
      <c r="J235" s="330" t="str">
        <f t="shared" si="38"/>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37"/>
        <v>0</v>
      </c>
      <c r="J236" s="330" t="str">
        <f t="shared" si="38"/>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49">SUM(C238:C247)</f>
        <v>0</v>
      </c>
      <c r="D237" s="444">
        <f t="shared" si="49"/>
        <v>0</v>
      </c>
      <c r="E237" s="441">
        <f t="shared" si="49"/>
        <v>0</v>
      </c>
      <c r="F237" s="443">
        <f t="shared" si="49"/>
        <v>0</v>
      </c>
      <c r="G237" s="441">
        <f t="shared" si="49"/>
        <v>0</v>
      </c>
      <c r="H237" s="443">
        <f t="shared" si="49"/>
        <v>0</v>
      </c>
      <c r="I237" s="44">
        <f t="shared" ref="I237:I300" si="50">G237-H237</f>
        <v>0</v>
      </c>
      <c r="J237" s="330" t="str">
        <f t="shared" ref="J237:J300" si="51">IF(I237=0,"",I237/H237)</f>
        <v/>
      </c>
      <c r="K237" s="442">
        <f t="shared" si="49"/>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50"/>
        <v>0</v>
      </c>
      <c r="J238" s="330" t="str">
        <f t="shared" si="51"/>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50"/>
        <v>0</v>
      </c>
      <c r="J239" s="330" t="str">
        <f t="shared" si="51"/>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50"/>
        <v>0</v>
      </c>
      <c r="J240" s="330" t="str">
        <f t="shared" si="51"/>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50"/>
        <v>0</v>
      </c>
      <c r="J241" s="330" t="str">
        <f t="shared" si="51"/>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50"/>
        <v>0</v>
      </c>
      <c r="J242" s="330" t="str">
        <f t="shared" si="51"/>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50"/>
        <v>0</v>
      </c>
      <c r="J243" s="330" t="str">
        <f t="shared" si="51"/>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50"/>
        <v>0</v>
      </c>
      <c r="J244" s="330" t="str">
        <f t="shared" si="51"/>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50"/>
        <v>0</v>
      </c>
      <c r="J245" s="330" t="str">
        <f t="shared" si="51"/>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50"/>
        <v>0</v>
      </c>
      <c r="J246" s="330" t="str">
        <f t="shared" si="51"/>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50"/>
        <v>0</v>
      </c>
      <c r="J247" s="330" t="str">
        <f t="shared" si="51"/>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52">SUM(C249:C258)</f>
        <v>0</v>
      </c>
      <c r="D248" s="444">
        <f t="shared" si="52"/>
        <v>0</v>
      </c>
      <c r="E248" s="441">
        <f t="shared" si="52"/>
        <v>0</v>
      </c>
      <c r="F248" s="443">
        <f t="shared" si="52"/>
        <v>0</v>
      </c>
      <c r="G248" s="441">
        <f t="shared" si="52"/>
        <v>0</v>
      </c>
      <c r="H248" s="443">
        <f t="shared" si="52"/>
        <v>0</v>
      </c>
      <c r="I248" s="44">
        <f t="shared" si="50"/>
        <v>0</v>
      </c>
      <c r="J248" s="330" t="str">
        <f t="shared" si="51"/>
        <v/>
      </c>
      <c r="K248" s="442">
        <f t="shared" si="52"/>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50"/>
        <v>0</v>
      </c>
      <c r="J249" s="330" t="str">
        <f t="shared" si="51"/>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50"/>
        <v>0</v>
      </c>
      <c r="J250" s="330" t="str">
        <f t="shared" si="51"/>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50"/>
        <v>0</v>
      </c>
      <c r="J251" s="330" t="str">
        <f t="shared" si="51"/>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50"/>
        <v>0</v>
      </c>
      <c r="J252" s="330" t="str">
        <f t="shared" si="51"/>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50"/>
        <v>0</v>
      </c>
      <c r="J253" s="330" t="str">
        <f t="shared" si="51"/>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50"/>
        <v>0</v>
      </c>
      <c r="J254" s="330" t="str">
        <f t="shared" si="51"/>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50"/>
        <v>0</v>
      </c>
      <c r="J255" s="330" t="str">
        <f t="shared" si="51"/>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50"/>
        <v>0</v>
      </c>
      <c r="J256" s="330" t="str">
        <f t="shared" si="51"/>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50"/>
        <v>0</v>
      </c>
      <c r="J257" s="330" t="str">
        <f t="shared" si="51"/>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50"/>
        <v>0</v>
      </c>
      <c r="J258" s="330" t="str">
        <f t="shared" si="51"/>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53">SUM(C260:C269)</f>
        <v>0</v>
      </c>
      <c r="D259" s="444">
        <f t="shared" si="53"/>
        <v>0</v>
      </c>
      <c r="E259" s="441">
        <f t="shared" si="53"/>
        <v>0</v>
      </c>
      <c r="F259" s="443">
        <f t="shared" si="53"/>
        <v>0</v>
      </c>
      <c r="G259" s="441">
        <f t="shared" si="53"/>
        <v>0</v>
      </c>
      <c r="H259" s="443">
        <f t="shared" si="53"/>
        <v>0</v>
      </c>
      <c r="I259" s="44">
        <f t="shared" si="50"/>
        <v>0</v>
      </c>
      <c r="J259" s="330" t="str">
        <f t="shared" si="51"/>
        <v/>
      </c>
      <c r="K259" s="442">
        <f t="shared" si="53"/>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50"/>
        <v>0</v>
      </c>
      <c r="J260" s="330" t="str">
        <f t="shared" si="51"/>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50"/>
        <v>0</v>
      </c>
      <c r="J261" s="330" t="str">
        <f t="shared" si="51"/>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50"/>
        <v>0</v>
      </c>
      <c r="J262" s="330" t="str">
        <f t="shared" si="51"/>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50"/>
        <v>0</v>
      </c>
      <c r="J263" s="330" t="str">
        <f t="shared" si="51"/>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50"/>
        <v>0</v>
      </c>
      <c r="J264" s="330" t="str">
        <f t="shared" si="51"/>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50"/>
        <v>0</v>
      </c>
      <c r="J265" s="330" t="str">
        <f t="shared" si="51"/>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50"/>
        <v>0</v>
      </c>
      <c r="J266" s="330" t="str">
        <f t="shared" si="51"/>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50"/>
        <v>0</v>
      </c>
      <c r="J267" s="330" t="str">
        <f t="shared" si="51"/>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50"/>
        <v>0</v>
      </c>
      <c r="J268" s="330" t="str">
        <f t="shared" si="51"/>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50"/>
        <v>0</v>
      </c>
      <c r="J269" s="330" t="str">
        <f t="shared" si="51"/>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54">SUM(C271:C280)</f>
        <v>0</v>
      </c>
      <c r="D270" s="444">
        <f t="shared" si="54"/>
        <v>0</v>
      </c>
      <c r="E270" s="441">
        <f t="shared" si="54"/>
        <v>0</v>
      </c>
      <c r="F270" s="443">
        <f t="shared" si="54"/>
        <v>0</v>
      </c>
      <c r="G270" s="441">
        <f t="shared" si="54"/>
        <v>0</v>
      </c>
      <c r="H270" s="443">
        <f t="shared" si="54"/>
        <v>0</v>
      </c>
      <c r="I270" s="44">
        <f t="shared" si="50"/>
        <v>0</v>
      </c>
      <c r="J270" s="330" t="str">
        <f t="shared" si="51"/>
        <v/>
      </c>
      <c r="K270" s="442">
        <f t="shared" si="54"/>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50"/>
        <v>0</v>
      </c>
      <c r="J271" s="330" t="str">
        <f t="shared" si="51"/>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50"/>
        <v>0</v>
      </c>
      <c r="J272" s="330" t="str">
        <f t="shared" si="51"/>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50"/>
        <v>0</v>
      </c>
      <c r="J273" s="330" t="str">
        <f t="shared" si="51"/>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50"/>
        <v>0</v>
      </c>
      <c r="J274" s="330" t="str">
        <f t="shared" si="51"/>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50"/>
        <v>0</v>
      </c>
      <c r="J275" s="330" t="str">
        <f t="shared" si="51"/>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50"/>
        <v>0</v>
      </c>
      <c r="J276" s="330" t="str">
        <f t="shared" si="51"/>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50"/>
        <v>0</v>
      </c>
      <c r="J277" s="330" t="str">
        <f t="shared" si="51"/>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50"/>
        <v>0</v>
      </c>
      <c r="J278" s="330" t="str">
        <f t="shared" si="51"/>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50"/>
        <v>0</v>
      </c>
      <c r="J279" s="330" t="str">
        <f t="shared" si="51"/>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50"/>
        <v>0</v>
      </c>
      <c r="J280" s="330" t="str">
        <f t="shared" si="51"/>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55">SUM(C282:C291)</f>
        <v>0</v>
      </c>
      <c r="D281" s="444">
        <f t="shared" si="55"/>
        <v>0</v>
      </c>
      <c r="E281" s="441">
        <f t="shared" si="55"/>
        <v>0</v>
      </c>
      <c r="F281" s="443">
        <f t="shared" si="55"/>
        <v>0</v>
      </c>
      <c r="G281" s="441">
        <f t="shared" si="55"/>
        <v>0</v>
      </c>
      <c r="H281" s="443">
        <f t="shared" si="55"/>
        <v>0</v>
      </c>
      <c r="I281" s="44">
        <f t="shared" si="50"/>
        <v>0</v>
      </c>
      <c r="J281" s="330" t="str">
        <f t="shared" si="51"/>
        <v/>
      </c>
      <c r="K281" s="442">
        <f t="shared" si="55"/>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50"/>
        <v>0</v>
      </c>
      <c r="J282" s="330" t="str">
        <f t="shared" si="51"/>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50"/>
        <v>0</v>
      </c>
      <c r="J283" s="330" t="str">
        <f t="shared" si="51"/>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50"/>
        <v>0</v>
      </c>
      <c r="J284" s="330" t="str">
        <f t="shared" si="51"/>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50"/>
        <v>0</v>
      </c>
      <c r="J285" s="330" t="str">
        <f t="shared" si="51"/>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50"/>
        <v>0</v>
      </c>
      <c r="J286" s="330" t="str">
        <f t="shared" si="51"/>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50"/>
        <v>0</v>
      </c>
      <c r="J287" s="330" t="str">
        <f t="shared" si="51"/>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50"/>
        <v>0</v>
      </c>
      <c r="J288" s="330" t="str">
        <f t="shared" si="51"/>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50"/>
        <v>0</v>
      </c>
      <c r="J289" s="330" t="str">
        <f t="shared" si="51"/>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50"/>
        <v>0</v>
      </c>
      <c r="J290" s="330" t="str">
        <f t="shared" si="51"/>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50"/>
        <v>0</v>
      </c>
      <c r="J291" s="330" t="str">
        <f t="shared" si="51"/>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56">SUM(C293:C302)</f>
        <v>0</v>
      </c>
      <c r="D292" s="444">
        <f t="shared" si="56"/>
        <v>0</v>
      </c>
      <c r="E292" s="441">
        <f t="shared" si="56"/>
        <v>0</v>
      </c>
      <c r="F292" s="443">
        <f t="shared" si="56"/>
        <v>0</v>
      </c>
      <c r="G292" s="441">
        <f t="shared" si="56"/>
        <v>0</v>
      </c>
      <c r="H292" s="443">
        <f t="shared" si="56"/>
        <v>0</v>
      </c>
      <c r="I292" s="44">
        <f t="shared" si="50"/>
        <v>0</v>
      </c>
      <c r="J292" s="330" t="str">
        <f t="shared" si="51"/>
        <v/>
      </c>
      <c r="K292" s="442">
        <f t="shared" si="56"/>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50"/>
        <v>0</v>
      </c>
      <c r="J293" s="330" t="str">
        <f t="shared" si="51"/>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50"/>
        <v>0</v>
      </c>
      <c r="J294" s="330" t="str">
        <f t="shared" si="51"/>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50"/>
        <v>0</v>
      </c>
      <c r="J295" s="330" t="str">
        <f t="shared" si="51"/>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50"/>
        <v>0</v>
      </c>
      <c r="J296" s="330" t="str">
        <f t="shared" si="51"/>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50"/>
        <v>0</v>
      </c>
      <c r="J297" s="330" t="str">
        <f t="shared" si="51"/>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50"/>
        <v>0</v>
      </c>
      <c r="J298" s="330" t="str">
        <f t="shared" si="51"/>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50"/>
        <v>0</v>
      </c>
      <c r="J299" s="330" t="str">
        <f t="shared" si="51"/>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50"/>
        <v>0</v>
      </c>
      <c r="J300" s="330" t="str">
        <f t="shared" si="51"/>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57">G301-H301</f>
        <v>0</v>
      </c>
      <c r="J301" s="330" t="str">
        <f t="shared" ref="J301:J316" si="58">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57"/>
        <v>0</v>
      </c>
      <c r="J302" s="330" t="str">
        <f t="shared" si="58"/>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59">SUM(C304:C313)</f>
        <v>0</v>
      </c>
      <c r="D303" s="444">
        <f t="shared" si="59"/>
        <v>0</v>
      </c>
      <c r="E303" s="441">
        <f t="shared" si="59"/>
        <v>0</v>
      </c>
      <c r="F303" s="443">
        <f t="shared" si="59"/>
        <v>0</v>
      </c>
      <c r="G303" s="441">
        <f t="shared" si="59"/>
        <v>0</v>
      </c>
      <c r="H303" s="443">
        <f t="shared" si="59"/>
        <v>0</v>
      </c>
      <c r="I303" s="44">
        <f t="shared" si="57"/>
        <v>0</v>
      </c>
      <c r="J303" s="330" t="str">
        <f t="shared" si="58"/>
        <v/>
      </c>
      <c r="K303" s="442">
        <f t="shared" si="59"/>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57"/>
        <v>0</v>
      </c>
      <c r="J304" s="330" t="str">
        <f t="shared" si="58"/>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57"/>
        <v>0</v>
      </c>
      <c r="J305" s="330" t="str">
        <f t="shared" si="58"/>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57"/>
        <v>0</v>
      </c>
      <c r="J306" s="330" t="str">
        <f t="shared" si="58"/>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57"/>
        <v>0</v>
      </c>
      <c r="J307" s="330" t="str">
        <f t="shared" si="58"/>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57"/>
        <v>0</v>
      </c>
      <c r="J308" s="330" t="str">
        <f t="shared" si="58"/>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57"/>
        <v>0</v>
      </c>
      <c r="J309" s="330" t="str">
        <f t="shared" si="58"/>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57"/>
        <v>0</v>
      </c>
      <c r="J310" s="330" t="str">
        <f t="shared" si="58"/>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57"/>
        <v>0</v>
      </c>
      <c r="J311" s="330" t="str">
        <f t="shared" si="58"/>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57"/>
        <v>0</v>
      </c>
      <c r="J312" s="330" t="str">
        <f t="shared" si="58"/>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57"/>
        <v>0</v>
      </c>
      <c r="J313" s="330" t="str">
        <f t="shared" si="58"/>
        <v/>
      </c>
      <c r="K313" s="395"/>
      <c r="L313" s="452">
        <f t="shared" ref="L313:W313" si="60">SUM(L148:L224)</f>
        <v>0</v>
      </c>
      <c r="M313" s="453">
        <f t="shared" si="60"/>
        <v>0</v>
      </c>
      <c r="N313" s="453">
        <f t="shared" si="60"/>
        <v>0</v>
      </c>
      <c r="O313" s="453">
        <f t="shared" si="60"/>
        <v>0</v>
      </c>
      <c r="P313" s="453">
        <f t="shared" si="60"/>
        <v>0</v>
      </c>
      <c r="Q313" s="453">
        <f t="shared" si="60"/>
        <v>0</v>
      </c>
      <c r="R313" s="453">
        <f t="shared" si="60"/>
        <v>0</v>
      </c>
      <c r="S313" s="453">
        <f t="shared" si="60"/>
        <v>0</v>
      </c>
      <c r="T313" s="453">
        <f t="shared" si="60"/>
        <v>0</v>
      </c>
      <c r="U313" s="453">
        <f t="shared" si="60"/>
        <v>0</v>
      </c>
      <c r="V313" s="453">
        <f t="shared" si="60"/>
        <v>0</v>
      </c>
      <c r="W313" s="453">
        <f t="shared" si="60"/>
        <v>0</v>
      </c>
    </row>
    <row r="314" spans="1:23" ht="12.75" customHeight="1" x14ac:dyDescent="0.25">
      <c r="A314" s="711" t="s">
        <v>799</v>
      </c>
      <c r="B314" s="712"/>
      <c r="C314" s="508">
        <f>C149+C160+C171+C182+C193+C204+C215+C226+C237+C259+C270+C281+C292+C303+C248</f>
        <v>0</v>
      </c>
      <c r="D314" s="475">
        <f t="shared" ref="D314:K314" si="61">D149+D160+D171+D182+D193+D204+D215+D226+D237+D259+D270+D281+D292+D303+D248</f>
        <v>71724000</v>
      </c>
      <c r="E314" s="430">
        <f t="shared" si="61"/>
        <v>364790788</v>
      </c>
      <c r="F314" s="474">
        <f t="shared" si="61"/>
        <v>4764371.3800000008</v>
      </c>
      <c r="G314" s="430">
        <f t="shared" si="61"/>
        <v>38667204.009999998</v>
      </c>
      <c r="H314" s="474">
        <f t="shared" si="61"/>
        <v>334391555.66666669</v>
      </c>
      <c r="I314" s="430">
        <f t="shared" si="57"/>
        <v>-295724351.6566667</v>
      </c>
      <c r="J314" s="430">
        <f t="shared" si="58"/>
        <v>-0.88436548903601853</v>
      </c>
      <c r="K314" s="513">
        <f t="shared" si="61"/>
        <v>364790788</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57"/>
        <v>0</v>
      </c>
      <c r="J315" s="50" t="str">
        <f t="shared" si="58"/>
        <v/>
      </c>
      <c r="K315" s="194"/>
      <c r="L315" s="480">
        <f t="shared" ref="L315:W315" si="62">L144-L313</f>
        <v>0</v>
      </c>
      <c r="M315" s="481">
        <f t="shared" si="62"/>
        <v>0</v>
      </c>
      <c r="N315" s="481">
        <f t="shared" si="62"/>
        <v>0</v>
      </c>
      <c r="O315" s="481">
        <f t="shared" si="62"/>
        <v>0</v>
      </c>
      <c r="P315" s="481">
        <f t="shared" si="62"/>
        <v>0</v>
      </c>
      <c r="Q315" s="481">
        <f t="shared" si="62"/>
        <v>0</v>
      </c>
      <c r="R315" s="481">
        <f t="shared" si="62"/>
        <v>0</v>
      </c>
      <c r="S315" s="481">
        <f t="shared" si="62"/>
        <v>0</v>
      </c>
      <c r="T315" s="481">
        <f t="shared" si="62"/>
        <v>0</v>
      </c>
      <c r="U315" s="481">
        <f t="shared" si="62"/>
        <v>0</v>
      </c>
      <c r="V315" s="481">
        <f t="shared" si="62"/>
        <v>0</v>
      </c>
      <c r="W315" s="481">
        <f t="shared" si="62"/>
        <v>0</v>
      </c>
    </row>
    <row r="316" spans="1:23" s="486" customFormat="1" ht="13.5" customHeight="1" thickTop="1" x14ac:dyDescent="0.25">
      <c r="A316" s="53" t="s">
        <v>761</v>
      </c>
      <c r="B316" s="477"/>
      <c r="C316" s="509">
        <f>C145+C314</f>
        <v>479855222.16999996</v>
      </c>
      <c r="D316" s="512">
        <f t="shared" ref="D316:K316" si="63">D145+D314</f>
        <v>580891581</v>
      </c>
      <c r="E316" s="55">
        <f t="shared" si="63"/>
        <v>747190359.77999997</v>
      </c>
      <c r="F316" s="479">
        <f t="shared" si="63"/>
        <v>35226258.649999999</v>
      </c>
      <c r="G316" s="55">
        <f t="shared" si="63"/>
        <v>420492778.13</v>
      </c>
      <c r="H316" s="479">
        <f t="shared" si="63"/>
        <v>684924496.46499991</v>
      </c>
      <c r="I316" s="55">
        <f t="shared" si="57"/>
        <v>-264431718.33499992</v>
      </c>
      <c r="J316" s="55">
        <f t="shared" si="58"/>
        <v>-0.38607426030135067</v>
      </c>
      <c r="K316" s="235">
        <f t="shared" si="63"/>
        <v>747190359.77999997</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14" activePane="bottomRight" state="frozen"/>
      <selection pane="topRight"/>
      <selection pane="bottomLeft"/>
      <selection pane="bottomRight" activeCell="C46" sqref="C46:C47"/>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60" t="str">
        <f>muni&amp; " - "&amp;S71E&amp; " - "&amp;date</f>
        <v>KZN225 Msunduzi - Table C6 Consolidated Monthly Budget Statement - Financial Position  - M11 May</v>
      </c>
      <c r="B1" s="1060"/>
      <c r="C1" s="1060"/>
      <c r="D1" s="1060"/>
      <c r="E1" s="1060"/>
      <c r="F1" s="1060"/>
      <c r="G1" s="1060"/>
    </row>
    <row r="2" spans="1:8" x14ac:dyDescent="0.25">
      <c r="A2" s="1045" t="str">
        <f>desc</f>
        <v>Description</v>
      </c>
      <c r="B2" s="1038" t="str">
        <f>head27</f>
        <v>Ref</v>
      </c>
      <c r="C2" s="140" t="str">
        <f>Head1</f>
        <v>2019/20</v>
      </c>
      <c r="D2" s="245" t="str">
        <f>Head2</f>
        <v>Budget Year 2020/21</v>
      </c>
      <c r="E2" s="229"/>
      <c r="F2" s="229"/>
      <c r="G2" s="230"/>
    </row>
    <row r="3" spans="1:8" ht="25.5" x14ac:dyDescent="0.25">
      <c r="A3" s="1046"/>
      <c r="B3" s="1049"/>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v>518976967</v>
      </c>
      <c r="D7" s="753">
        <v>365664115.172562</v>
      </c>
      <c r="E7" s="733">
        <v>219655439.85161698</v>
      </c>
      <c r="F7" s="733">
        <v>18394382.600000009</v>
      </c>
      <c r="G7" s="735">
        <f>E7</f>
        <v>219655439.85161698</v>
      </c>
    </row>
    <row r="8" spans="1:8" ht="12.75" customHeight="1" x14ac:dyDescent="0.25">
      <c r="A8" s="39" t="s">
        <v>590</v>
      </c>
      <c r="B8" s="169"/>
      <c r="C8" s="748"/>
      <c r="D8" s="753">
        <v>16771734.260000002</v>
      </c>
      <c r="E8" s="733">
        <v>67212254.891475201</v>
      </c>
      <c r="F8" s="733">
        <v>356565639.24999976</v>
      </c>
      <c r="G8" s="735">
        <f t="shared" ref="G8:G10" si="0">E8</f>
        <v>67212254.891475201</v>
      </c>
    </row>
    <row r="9" spans="1:8" ht="12.75" customHeight="1" x14ac:dyDescent="0.25">
      <c r="A9" s="39" t="s">
        <v>588</v>
      </c>
      <c r="B9" s="169"/>
      <c r="C9" s="748">
        <v>1451865358</v>
      </c>
      <c r="D9" s="753">
        <v>2485904793.8587079</v>
      </c>
      <c r="E9" s="733">
        <v>2165986452.8837075</v>
      </c>
      <c r="F9" s="733">
        <v>1866957271.3300009</v>
      </c>
      <c r="G9" s="735">
        <f t="shared" si="0"/>
        <v>2165986452.8837075</v>
      </c>
    </row>
    <row r="10" spans="1:8" ht="12.75" customHeight="1" x14ac:dyDescent="0.25">
      <c r="A10" s="39" t="s">
        <v>589</v>
      </c>
      <c r="B10" s="169"/>
      <c r="C10" s="748">
        <v>550039863.56999969</v>
      </c>
      <c r="D10" s="753">
        <v>67823549.673443094</v>
      </c>
      <c r="E10" s="733">
        <v>67823549.673443094</v>
      </c>
      <c r="F10" s="733">
        <v>3184237.6799999978</v>
      </c>
      <c r="G10" s="735">
        <f t="shared" si="0"/>
        <v>67823549.673443094</v>
      </c>
    </row>
    <row r="11" spans="1:8" ht="12.75" customHeight="1" x14ac:dyDescent="0.25">
      <c r="A11" s="39" t="s">
        <v>786</v>
      </c>
      <c r="B11" s="169"/>
      <c r="C11" s="748"/>
      <c r="D11" s="753"/>
      <c r="E11" s="733">
        <v>0</v>
      </c>
      <c r="F11" s="733"/>
      <c r="G11" s="735"/>
    </row>
    <row r="12" spans="1:8" ht="12.75" customHeight="1" x14ac:dyDescent="0.25">
      <c r="A12" s="39" t="s">
        <v>587</v>
      </c>
      <c r="B12" s="169"/>
      <c r="C12" s="748">
        <v>340986532</v>
      </c>
      <c r="D12" s="753">
        <v>36180571.679769903</v>
      </c>
      <c r="E12" s="733">
        <v>173496047.05902392</v>
      </c>
      <c r="F12" s="733">
        <v>361429929.96999997</v>
      </c>
      <c r="G12" s="735">
        <f>E12</f>
        <v>173496047.05902392</v>
      </c>
    </row>
    <row r="13" spans="1:8" ht="12.75" customHeight="1" x14ac:dyDescent="0.25">
      <c r="A13" s="92" t="s">
        <v>632</v>
      </c>
      <c r="B13" s="233"/>
      <c r="C13" s="243">
        <f>SUM(C7:C12)</f>
        <v>2861868720.5699997</v>
      </c>
      <c r="D13" s="260">
        <f>SUM(D7:D12)</f>
        <v>2972344764.6444831</v>
      </c>
      <c r="E13" s="73">
        <f>SUM(E7:E12)</f>
        <v>2694173744.3592668</v>
      </c>
      <c r="F13" s="73">
        <f>SUM(F7:F12)</f>
        <v>2606531460.8300004</v>
      </c>
      <c r="G13" s="145">
        <f>SUM(G7:G12)</f>
        <v>2694173744.3592668</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v>-1095972.1900000013</v>
      </c>
      <c r="G16" s="733"/>
      <c r="H16" s="39"/>
    </row>
    <row r="17" spans="1:8" ht="12.75" customHeight="1" x14ac:dyDescent="0.25">
      <c r="A17" s="39" t="s">
        <v>544</v>
      </c>
      <c r="B17" s="169"/>
      <c r="C17" s="748"/>
      <c r="D17" s="753">
        <v>2969671.4292000006</v>
      </c>
      <c r="E17" s="733">
        <v>-328.5707999994047</v>
      </c>
      <c r="F17" s="733"/>
      <c r="G17" s="735">
        <v>-328.5707999994047</v>
      </c>
      <c r="H17" s="39"/>
    </row>
    <row r="18" spans="1:8" ht="12.75" customHeight="1" x14ac:dyDescent="0.25">
      <c r="A18" s="39" t="s">
        <v>585</v>
      </c>
      <c r="B18" s="169"/>
      <c r="C18" s="748">
        <v>821671435</v>
      </c>
      <c r="D18" s="753">
        <v>782332533.60000002</v>
      </c>
      <c r="E18" s="733">
        <v>782332533.60000002</v>
      </c>
      <c r="F18" s="733">
        <v>707626999.95000005</v>
      </c>
      <c r="G18" s="735">
        <f t="shared" ref="G18:G24" si="1">E18</f>
        <v>782332533.60000002</v>
      </c>
      <c r="H18" s="39"/>
    </row>
    <row r="19" spans="1:8" ht="12.75" customHeight="1" x14ac:dyDescent="0.25">
      <c r="A19" s="39" t="s">
        <v>278</v>
      </c>
      <c r="B19" s="169"/>
      <c r="C19" s="748"/>
      <c r="D19" s="753"/>
      <c r="E19" s="733">
        <v>0</v>
      </c>
      <c r="F19" s="733"/>
      <c r="G19" s="735"/>
      <c r="H19" s="39"/>
    </row>
    <row r="20" spans="1:8" ht="12.75" customHeight="1" x14ac:dyDescent="0.25">
      <c r="A20" s="39" t="s">
        <v>584</v>
      </c>
      <c r="B20" s="169"/>
      <c r="C20" s="748">
        <v>6588894508</v>
      </c>
      <c r="D20" s="753">
        <v>7111997635.7252645</v>
      </c>
      <c r="E20" s="733">
        <v>7285796412.2295036</v>
      </c>
      <c r="F20" s="733">
        <v>6621062543.8700037</v>
      </c>
      <c r="G20" s="735">
        <f t="shared" si="1"/>
        <v>7285796412.2295036</v>
      </c>
    </row>
    <row r="21" spans="1:8" ht="0.95" customHeight="1" x14ac:dyDescent="0.25">
      <c r="A21" s="39"/>
      <c r="B21" s="169"/>
      <c r="C21" s="648"/>
      <c r="D21" s="670"/>
      <c r="E21" s="408"/>
      <c r="F21" s="408"/>
      <c r="G21" s="642"/>
      <c r="H21" s="39"/>
    </row>
    <row r="22" spans="1:8" ht="12.75" customHeight="1" x14ac:dyDescent="0.25">
      <c r="A22" s="39" t="s">
        <v>1333</v>
      </c>
      <c r="B22" s="169"/>
      <c r="C22" s="748">
        <v>1070250</v>
      </c>
      <c r="D22" s="753">
        <v>1065650.33</v>
      </c>
      <c r="E22" s="733">
        <v>1065650.33</v>
      </c>
      <c r="F22" s="733">
        <v>1070250</v>
      </c>
      <c r="G22" s="735">
        <f t="shared" si="1"/>
        <v>1065650.33</v>
      </c>
      <c r="H22" s="39"/>
    </row>
    <row r="23" spans="1:8" ht="12.75" customHeight="1" x14ac:dyDescent="0.25">
      <c r="A23" s="39" t="s">
        <v>1334</v>
      </c>
      <c r="B23" s="169"/>
      <c r="C23" s="748">
        <v>30700413</v>
      </c>
      <c r="D23" s="753">
        <v>46132727.226800002</v>
      </c>
      <c r="E23" s="733">
        <v>46132727.226800002</v>
      </c>
      <c r="F23" s="733">
        <v>21087383.859999999</v>
      </c>
      <c r="G23" s="735">
        <f t="shared" si="1"/>
        <v>46132727.226800002</v>
      </c>
      <c r="H23" s="39"/>
    </row>
    <row r="24" spans="1:8" ht="12.75" customHeight="1" x14ac:dyDescent="0.25">
      <c r="A24" s="39" t="s">
        <v>795</v>
      </c>
      <c r="B24" s="169"/>
      <c r="C24" s="748">
        <v>345024972</v>
      </c>
      <c r="D24" s="753">
        <v>395927434.26520002</v>
      </c>
      <c r="E24" s="733">
        <v>395927434.26520002</v>
      </c>
      <c r="F24" s="733">
        <v>73100000</v>
      </c>
      <c r="G24" s="735">
        <f t="shared" si="1"/>
        <v>395927434.26520002</v>
      </c>
      <c r="H24" s="39"/>
    </row>
    <row r="25" spans="1:8" ht="12.75" customHeight="1" x14ac:dyDescent="0.25">
      <c r="A25" s="92" t="s">
        <v>631</v>
      </c>
      <c r="B25" s="233"/>
      <c r="C25" s="243">
        <f>SUM(C16:C20)+SUM(C22:C24)</f>
        <v>7787361578</v>
      </c>
      <c r="D25" s="260">
        <f>SUM(D16:D20)+SUM(D22:D24)</f>
        <v>8340425652.5764656</v>
      </c>
      <c r="E25" s="73">
        <f>SUM(E16:E20)+SUM(E22:E24)</f>
        <v>8511254429.0807037</v>
      </c>
      <c r="F25" s="73">
        <f>SUM(F16:F20)+SUM(F22:F24)</f>
        <v>7422851205.4900036</v>
      </c>
      <c r="G25" s="145">
        <f>SUM(G16:G20)+SUM(G22:G24)</f>
        <v>8511254429.0807037</v>
      </c>
      <c r="H25" s="39"/>
    </row>
    <row r="26" spans="1:8" ht="12.75" customHeight="1" x14ac:dyDescent="0.25">
      <c r="A26" s="92" t="s">
        <v>778</v>
      </c>
      <c r="B26" s="233"/>
      <c r="C26" s="243">
        <f>C13+C25</f>
        <v>10649230298.57</v>
      </c>
      <c r="D26" s="260">
        <f>D13+D25</f>
        <v>11312770417.220949</v>
      </c>
      <c r="E26" s="73">
        <f>E13+E25</f>
        <v>11205428173.43997</v>
      </c>
      <c r="F26" s="73">
        <f>F13+F25</f>
        <v>10029382666.320004</v>
      </c>
      <c r="G26" s="145">
        <f>G13+G25</f>
        <v>11205428173.43997</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v>113418257.92</v>
      </c>
      <c r="D31" s="753">
        <v>85380595.876948789</v>
      </c>
      <c r="E31" s="733">
        <v>85380595.876948789</v>
      </c>
      <c r="F31" s="733">
        <v>21811095.280000001</v>
      </c>
      <c r="G31" s="735">
        <f t="shared" ref="G31:G34" si="2">E31</f>
        <v>85380595.876948789</v>
      </c>
    </row>
    <row r="32" spans="1:8" ht="12.75" customHeight="1" x14ac:dyDescent="0.25">
      <c r="A32" s="39" t="s">
        <v>583</v>
      </c>
      <c r="B32" s="169"/>
      <c r="C32" s="748">
        <v>113838915</v>
      </c>
      <c r="D32" s="753">
        <v>114344430.65218705</v>
      </c>
      <c r="E32" s="733">
        <v>114344430.65218705</v>
      </c>
      <c r="F32" s="733">
        <v>127659309.98999999</v>
      </c>
      <c r="G32" s="735">
        <f t="shared" si="2"/>
        <v>114344430.65218705</v>
      </c>
    </row>
    <row r="33" spans="1:7" ht="12.75" customHeight="1" x14ac:dyDescent="0.25">
      <c r="A33" s="39" t="s">
        <v>787</v>
      </c>
      <c r="B33" s="169"/>
      <c r="C33" s="748">
        <v>1624206606</v>
      </c>
      <c r="D33" s="753">
        <v>1101595513.0999999</v>
      </c>
      <c r="E33" s="733">
        <v>1005724626.099849</v>
      </c>
      <c r="F33" s="733">
        <v>1268726152.6500001</v>
      </c>
      <c r="G33" s="735">
        <f t="shared" si="2"/>
        <v>1005724626.099849</v>
      </c>
    </row>
    <row r="34" spans="1:7" ht="12.75" customHeight="1" x14ac:dyDescent="0.25">
      <c r="A34" s="39" t="s">
        <v>546</v>
      </c>
      <c r="B34" s="169"/>
      <c r="C34" s="748">
        <v>41864143</v>
      </c>
      <c r="D34" s="753">
        <v>140397811.785</v>
      </c>
      <c r="E34" s="733">
        <v>140397811.785</v>
      </c>
      <c r="F34" s="733">
        <v>39036244</v>
      </c>
      <c r="G34" s="735">
        <f t="shared" si="2"/>
        <v>140397811.785</v>
      </c>
    </row>
    <row r="35" spans="1:7" ht="12.75" customHeight="1" x14ac:dyDescent="0.25">
      <c r="A35" s="92" t="s">
        <v>459</v>
      </c>
      <c r="B35" s="233"/>
      <c r="C35" s="243">
        <f>SUM(C30:C34)</f>
        <v>1893327921.9200001</v>
      </c>
      <c r="D35" s="260">
        <f>SUM(D30:D34)</f>
        <v>1441718351.4141357</v>
      </c>
      <c r="E35" s="73">
        <f>SUM(E30:E34)</f>
        <v>1345847464.413985</v>
      </c>
      <c r="F35" s="73">
        <f>SUM(F30:F34)</f>
        <v>1457232801.9200001</v>
      </c>
      <c r="G35" s="145">
        <f>SUM(G30:G34)</f>
        <v>1345847464.413985</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v>285317995.64999998</v>
      </c>
      <c r="D38" s="753">
        <v>282085537</v>
      </c>
      <c r="E38" s="733">
        <v>282085537</v>
      </c>
      <c r="F38" s="733">
        <v>285317995.64999998</v>
      </c>
      <c r="G38" s="735">
        <f t="shared" ref="G38:G39" si="3">E38</f>
        <v>282085537</v>
      </c>
    </row>
    <row r="39" spans="1:7" ht="12.75" customHeight="1" x14ac:dyDescent="0.25">
      <c r="A39" s="39" t="s">
        <v>546</v>
      </c>
      <c r="B39" s="169"/>
      <c r="C39" s="748">
        <v>531179840</v>
      </c>
      <c r="D39" s="753">
        <v>809779414.93056619</v>
      </c>
      <c r="E39" s="733">
        <v>809779414.93056619</v>
      </c>
      <c r="F39" s="733">
        <v>531179839.63999999</v>
      </c>
      <c r="G39" s="735">
        <f t="shared" si="3"/>
        <v>809779414.93056619</v>
      </c>
    </row>
    <row r="40" spans="1:7" ht="12.75" customHeight="1" x14ac:dyDescent="0.25">
      <c r="A40" s="92" t="s">
        <v>458</v>
      </c>
      <c r="B40" s="233"/>
      <c r="C40" s="243">
        <f>SUM(C38:C39)</f>
        <v>816497835.64999998</v>
      </c>
      <c r="D40" s="260">
        <f>SUM(D38:D39)</f>
        <v>1091864951.9305663</v>
      </c>
      <c r="E40" s="73">
        <f>SUM(E38:E39)</f>
        <v>1091864951.9305663</v>
      </c>
      <c r="F40" s="73">
        <f>SUM(F38:F39)</f>
        <v>816497835.28999996</v>
      </c>
      <c r="G40" s="145">
        <f>SUM(G38:G39)</f>
        <v>1091864951.9305663</v>
      </c>
    </row>
    <row r="41" spans="1:7" ht="12.75" customHeight="1" x14ac:dyDescent="0.25">
      <c r="A41" s="92" t="s">
        <v>1</v>
      </c>
      <c r="B41" s="233"/>
      <c r="C41" s="243">
        <f>C35+C40</f>
        <v>2709825757.5700002</v>
      </c>
      <c r="D41" s="260">
        <f>D35+D40</f>
        <v>2533583303.3447018</v>
      </c>
      <c r="E41" s="73">
        <f>E35+E40</f>
        <v>2437712416.3445511</v>
      </c>
      <c r="F41" s="73">
        <f>F35+F40</f>
        <v>2273730637.21</v>
      </c>
      <c r="G41" s="145">
        <f>G35+G40</f>
        <v>2437712416.3445511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7939404541</v>
      </c>
      <c r="D43" s="265">
        <f>D26-D41</f>
        <v>8779187113.8762474</v>
      </c>
      <c r="E43" s="76">
        <f>E26-E41</f>
        <v>8767715757.0954189</v>
      </c>
      <c r="F43" s="76">
        <f>F26-F41</f>
        <v>7755652029.1100035</v>
      </c>
      <c r="G43" s="234">
        <f>G26-G41</f>
        <v>8767715757.0954189</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v>7748557372</v>
      </c>
      <c r="D46" s="753">
        <v>8550273855.8762474</v>
      </c>
      <c r="E46" s="733">
        <v>8538802498.9995632</v>
      </c>
      <c r="F46" s="733">
        <v>7563311546.71</v>
      </c>
      <c r="G46" s="735">
        <f t="shared" ref="G46:G47" si="4">E46</f>
        <v>8538802498.9995632</v>
      </c>
    </row>
    <row r="47" spans="1:7" ht="12.75" customHeight="1" x14ac:dyDescent="0.25">
      <c r="A47" s="39" t="s">
        <v>902</v>
      </c>
      <c r="B47" s="169"/>
      <c r="C47" s="748">
        <v>190847169</v>
      </c>
      <c r="D47" s="753">
        <v>228913258</v>
      </c>
      <c r="E47" s="733">
        <v>228913258.09585571</v>
      </c>
      <c r="F47" s="733">
        <v>192340482.21000001</v>
      </c>
      <c r="G47" s="735">
        <f t="shared" si="4"/>
        <v>228913258.09585571</v>
      </c>
    </row>
    <row r="48" spans="1:7" ht="12.75" customHeight="1" x14ac:dyDescent="0.25">
      <c r="A48" s="53" t="s">
        <v>626</v>
      </c>
      <c r="B48" s="236">
        <v>2</v>
      </c>
      <c r="C48" s="112">
        <f>SUM(C46:C47)</f>
        <v>7939404541</v>
      </c>
      <c r="D48" s="271">
        <f>SUM(D46:D47)</f>
        <v>8779187113.8762474</v>
      </c>
      <c r="E48" s="55">
        <f>SUM(E46:E47)</f>
        <v>8767715757.0954189</v>
      </c>
      <c r="F48" s="55">
        <f>SUM(F46:F47)</f>
        <v>7755652028.9200001</v>
      </c>
      <c r="G48" s="235">
        <f>SUM(G46:G47)</f>
        <v>8767715757.0954189</v>
      </c>
    </row>
    <row r="49" spans="1:7" ht="12.75" customHeight="1" x14ac:dyDescent="0.25">
      <c r="A49" s="78" t="str">
        <f>head27a</f>
        <v>References</v>
      </c>
      <c r="B49" s="58"/>
      <c r="C49" s="49"/>
      <c r="D49" s="49"/>
      <c r="E49" s="49"/>
      <c r="F49" s="49"/>
      <c r="G49" s="49"/>
    </row>
    <row r="50" spans="1:7" ht="13.5" customHeight="1" x14ac:dyDescent="0.25">
      <c r="A50" s="1059" t="s">
        <v>145</v>
      </c>
      <c r="B50" s="1059"/>
      <c r="C50" s="1059"/>
      <c r="D50" s="1059"/>
      <c r="E50" s="1059"/>
      <c r="F50" s="1059"/>
      <c r="G50" s="1059"/>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0.19000339508056641</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s="25" customFormat="1" ht="11.25" customHeight="1" x14ac:dyDescent="0.25"/>
    <row r="66" s="25" customFormat="1" ht="11.25" customHeight="1" x14ac:dyDescent="0.25"/>
    <row r="67" s="25" customFormat="1" ht="11.25" customHeight="1" x14ac:dyDescent="0.25"/>
    <row r="68" s="25" customFormat="1" ht="11.25" customHeight="1" x14ac:dyDescent="0.25"/>
    <row r="69" s="25" customFormat="1" ht="11.25" customHeight="1" x14ac:dyDescent="0.25"/>
    <row r="70" s="25" customFormat="1" ht="11.25" customHeight="1" x14ac:dyDescent="0.25"/>
    <row r="71" s="25" customFormat="1" ht="11.25" customHeight="1" x14ac:dyDescent="0.25"/>
    <row r="72" s="25" customFormat="1" ht="11.25" customHeight="1" x14ac:dyDescent="0.25"/>
    <row r="73" s="25" customFormat="1" ht="11.25" customHeight="1" x14ac:dyDescent="0.25"/>
    <row r="74" s="25" customFormat="1" ht="11.25" customHeight="1" x14ac:dyDescent="0.25"/>
    <row r="75" s="25" customFormat="1" ht="11.25" customHeight="1" x14ac:dyDescent="0.25"/>
    <row r="76" s="25" customFormat="1" ht="11.25" customHeight="1" x14ac:dyDescent="0.25"/>
    <row r="77" s="25" customFormat="1" ht="11.25" customHeight="1" x14ac:dyDescent="0.25"/>
    <row r="78" s="25" customFormat="1" ht="11.25" customHeight="1" x14ac:dyDescent="0.25"/>
    <row r="79" s="25" customFormat="1" ht="11.25" customHeight="1" x14ac:dyDescent="0.25"/>
    <row r="80" s="25" customFormat="1" ht="11.25" customHeight="1" x14ac:dyDescent="0.25"/>
    <row r="81" s="25" customFormat="1" ht="11.25" customHeight="1" x14ac:dyDescent="0.25"/>
    <row r="82" s="25" customFormat="1" ht="11.25" customHeight="1" x14ac:dyDescent="0.25"/>
    <row r="83" s="25" customFormat="1" ht="11.25" customHeight="1" x14ac:dyDescent="0.25"/>
    <row r="84" s="25" customFormat="1" ht="11.25" customHeight="1" x14ac:dyDescent="0.25"/>
    <row r="85" s="25" customFormat="1" ht="11.25" customHeight="1" x14ac:dyDescent="0.25"/>
    <row r="86" s="25" customFormat="1" ht="11.25" customHeight="1" x14ac:dyDescent="0.25"/>
    <row r="87" s="25" customFormat="1" ht="11.25" customHeight="1" x14ac:dyDescent="0.25"/>
    <row r="88" s="25" customFormat="1" ht="11.25" customHeight="1" x14ac:dyDescent="0.25"/>
    <row r="89" s="25" customFormat="1"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C40" sqref="C40"/>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"&amp;S71F&amp; " - "&amp;date</f>
        <v>KZN225 Msunduzi - Table C7 Consolidated Monthly Budget Statement - Cash Flow  - M11 May</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v>3893416276</v>
      </c>
      <c r="D7" s="745">
        <v>1079325404.9185297</v>
      </c>
      <c r="E7" s="733">
        <v>1041231567.0978758</v>
      </c>
      <c r="F7" s="733">
        <v>72091424.269999996</v>
      </c>
      <c r="G7" s="733">
        <v>137200485.66999972</v>
      </c>
      <c r="H7" s="733">
        <f>E7/12*11</f>
        <v>954462269.83971941</v>
      </c>
      <c r="I7" s="44">
        <f t="shared" ref="I7:I13" si="0">G7-H7</f>
        <v>-817261784.1697197</v>
      </c>
      <c r="J7" s="330">
        <f>IF(I7=0,"",I7/H7)</f>
        <v>-0.85625363096538176</v>
      </c>
      <c r="K7" s="735">
        <f>E7</f>
        <v>1041231567.0978758</v>
      </c>
    </row>
    <row r="8" spans="1:11" ht="12.75" customHeight="1" x14ac:dyDescent="0.25">
      <c r="A8" s="518" t="s">
        <v>962</v>
      </c>
      <c r="B8" s="169"/>
      <c r="C8" s="748"/>
      <c r="D8" s="745">
        <v>3039399061.9489746</v>
      </c>
      <c r="E8" s="733">
        <v>2932126153.8801875</v>
      </c>
      <c r="F8" s="733">
        <v>218966797.37000099</v>
      </c>
      <c r="G8" s="733">
        <v>405761038.22000301</v>
      </c>
      <c r="H8" s="733">
        <f t="shared" ref="H8:H12" si="1">E8/12*11</f>
        <v>2687782307.723505</v>
      </c>
      <c r="I8" s="44">
        <f t="shared" si="0"/>
        <v>-2282021269.5035019</v>
      </c>
      <c r="J8" s="330">
        <f>IF(I8=0,"",I8/H8)</f>
        <v>-0.84903500664692066</v>
      </c>
      <c r="K8" s="735">
        <f t="shared" ref="K8:K12" si="2">E8</f>
        <v>2932126153.8801875</v>
      </c>
    </row>
    <row r="9" spans="1:11" ht="12.75" customHeight="1" x14ac:dyDescent="0.25">
      <c r="A9" s="518" t="s">
        <v>453</v>
      </c>
      <c r="B9" s="169"/>
      <c r="C9" s="748"/>
      <c r="D9" s="745">
        <v>152193014.45782498</v>
      </c>
      <c r="E9" s="733">
        <v>152193014.45782498</v>
      </c>
      <c r="F9" s="733">
        <v>108262006.36999901</v>
      </c>
      <c r="G9" s="733">
        <v>291478244.25999749</v>
      </c>
      <c r="H9" s="733">
        <f t="shared" si="1"/>
        <v>139510263.25300622</v>
      </c>
      <c r="I9" s="44">
        <f t="shared" si="0"/>
        <v>151967981.00699127</v>
      </c>
      <c r="J9" s="330">
        <f>IF(I9=0,"",I9/H9)</f>
        <v>1.0892960665653149</v>
      </c>
      <c r="K9" s="735">
        <f t="shared" si="2"/>
        <v>152193014.45782498</v>
      </c>
    </row>
    <row r="10" spans="1:11" ht="12.75" customHeight="1" x14ac:dyDescent="0.25">
      <c r="A10" s="992" t="s">
        <v>1372</v>
      </c>
      <c r="B10" s="171"/>
      <c r="C10" s="748">
        <v>1169508101</v>
      </c>
      <c r="D10" s="745">
        <v>675483240</v>
      </c>
      <c r="E10" s="733">
        <v>819982787</v>
      </c>
      <c r="F10" s="733"/>
      <c r="G10" s="733">
        <v>301948058.13999999</v>
      </c>
      <c r="H10" s="733">
        <f t="shared" si="1"/>
        <v>751650888.08333337</v>
      </c>
      <c r="I10" s="44">
        <f t="shared" si="0"/>
        <v>-449702829.94333339</v>
      </c>
      <c r="J10" s="330">
        <f>IF(I10=0,"",I10/H10)</f>
        <v>-0.59828683378536252</v>
      </c>
      <c r="K10" s="735">
        <f t="shared" si="2"/>
        <v>819982787</v>
      </c>
    </row>
    <row r="11" spans="1:11" ht="12.75" customHeight="1" x14ac:dyDescent="0.25">
      <c r="A11" s="992" t="s">
        <v>1373</v>
      </c>
      <c r="B11" s="171"/>
      <c r="C11" s="748"/>
      <c r="D11" s="745">
        <v>525891580.99999982</v>
      </c>
      <c r="E11" s="733">
        <v>526485334.99999982</v>
      </c>
      <c r="F11" s="733">
        <v>4215397.12</v>
      </c>
      <c r="G11" s="733">
        <v>34561789.240000002</v>
      </c>
      <c r="H11" s="733">
        <f t="shared" si="1"/>
        <v>482611557.08333313</v>
      </c>
      <c r="I11" s="44">
        <f t="shared" si="0"/>
        <v>-448049767.84333313</v>
      </c>
      <c r="J11" s="330">
        <f t="shared" ref="J11:J18" si="3">IF(I11=0,"",I11/H11)</f>
        <v>-0.92838590636147533</v>
      </c>
      <c r="K11" s="735">
        <f t="shared" si="2"/>
        <v>526485334.99999982</v>
      </c>
    </row>
    <row r="12" spans="1:11" ht="12.75" customHeight="1" x14ac:dyDescent="0.25">
      <c r="A12" s="86" t="s">
        <v>886</v>
      </c>
      <c r="B12" s="171"/>
      <c r="C12" s="748">
        <v>45593332</v>
      </c>
      <c r="D12" s="745">
        <v>185060483.86592242</v>
      </c>
      <c r="E12" s="733">
        <v>185169383.865922</v>
      </c>
      <c r="F12" s="733">
        <v>47531</v>
      </c>
      <c r="G12" s="733">
        <v>313731</v>
      </c>
      <c r="H12" s="733">
        <f t="shared" si="1"/>
        <v>169738601.87709516</v>
      </c>
      <c r="I12" s="44">
        <f t="shared" si="0"/>
        <v>-169424870.87709516</v>
      </c>
      <c r="J12" s="330">
        <f t="shared" si="3"/>
        <v>-0.99815168148829714</v>
      </c>
      <c r="K12" s="735">
        <f t="shared" si="2"/>
        <v>185169383.865922</v>
      </c>
    </row>
    <row r="13" spans="1:11" ht="12.75" customHeight="1" x14ac:dyDescent="0.25">
      <c r="A13" s="86" t="s">
        <v>666</v>
      </c>
      <c r="B13" s="171"/>
      <c r="C13" s="748"/>
      <c r="D13" s="745"/>
      <c r="E13" s="733"/>
      <c r="F13" s="733"/>
      <c r="G13" s="733"/>
      <c r="H13" s="733"/>
      <c r="I13" s="44">
        <f t="shared" si="0"/>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v>-4385977162</v>
      </c>
      <c r="D15" s="745">
        <v>-4847945682.0956488</v>
      </c>
      <c r="E15" s="733">
        <v>-4980315359.5587177</v>
      </c>
      <c r="F15" s="733">
        <f>((((((-499096406.78-1167576)+-1316488)+-1231860)+-878964)+-1110463)+-1325002)+-1450141</f>
        <v>-507576900.77999997</v>
      </c>
      <c r="G15" s="733">
        <v>-1200635009.0799999</v>
      </c>
      <c r="H15" s="733">
        <f t="shared" ref="H15:H17" si="4">E15/12*11</f>
        <v>-4565289079.5954914</v>
      </c>
      <c r="I15" s="44">
        <f>H15-G15</f>
        <v>-3364654070.5154915</v>
      </c>
      <c r="J15" s="330">
        <f t="shared" si="3"/>
        <v>0.73700788972023157</v>
      </c>
      <c r="K15" s="735">
        <f t="shared" ref="K15:K17" si="5">E15</f>
        <v>-4980315359.5587177</v>
      </c>
    </row>
    <row r="16" spans="1:11" ht="12.75" customHeight="1" x14ac:dyDescent="0.25">
      <c r="A16" s="86" t="s">
        <v>452</v>
      </c>
      <c r="B16" s="171"/>
      <c r="C16" s="748">
        <v>-46314311</v>
      </c>
      <c r="D16" s="745">
        <v>-31793212.220000003</v>
      </c>
      <c r="E16" s="733">
        <v>-36505334.219999969</v>
      </c>
      <c r="F16" s="733">
        <v>-7584129.6500000004</v>
      </c>
      <c r="G16" s="733">
        <v>-12188526.43</v>
      </c>
      <c r="H16" s="733">
        <f t="shared" si="4"/>
        <v>-33463223.03499997</v>
      </c>
      <c r="I16" s="44">
        <f>H16-G16</f>
        <v>-21274696.604999971</v>
      </c>
      <c r="J16" s="330">
        <f t="shared" si="3"/>
        <v>0.63576352411566173</v>
      </c>
      <c r="K16" s="735">
        <f t="shared" si="5"/>
        <v>-36505334.219999969</v>
      </c>
    </row>
    <row r="17" spans="1:11" ht="12.75" customHeight="1" x14ac:dyDescent="0.25">
      <c r="A17" s="86" t="s">
        <v>69</v>
      </c>
      <c r="B17" s="171"/>
      <c r="C17" s="748"/>
      <c r="D17" s="745">
        <v>-25080461.44304001</v>
      </c>
      <c r="E17" s="733">
        <v>-46080462</v>
      </c>
      <c r="F17" s="733"/>
      <c r="G17" s="733"/>
      <c r="H17" s="733">
        <f t="shared" si="4"/>
        <v>-42240423.5</v>
      </c>
      <c r="I17" s="44">
        <f>H17-G17</f>
        <v>-42240423.5</v>
      </c>
      <c r="J17" s="330">
        <f t="shared" si="3"/>
        <v>1</v>
      </c>
      <c r="K17" s="735">
        <f t="shared" si="5"/>
        <v>-46080462</v>
      </c>
    </row>
    <row r="18" spans="1:11" ht="12.75" customHeight="1" x14ac:dyDescent="0.25">
      <c r="A18" s="92" t="s">
        <v>889</v>
      </c>
      <c r="B18" s="233"/>
      <c r="C18" s="243">
        <f t="shared" ref="C18:H18" si="6">SUM(C7:C13)+SUM(C15:C17)</f>
        <v>676226236</v>
      </c>
      <c r="D18" s="74">
        <f t="shared" si="6"/>
        <v>752533430.43256187</v>
      </c>
      <c r="E18" s="73">
        <f t="shared" si="6"/>
        <v>594287085.52309227</v>
      </c>
      <c r="F18" s="73">
        <f t="shared" si="6"/>
        <v>-111577874.29999995</v>
      </c>
      <c r="G18" s="73">
        <f t="shared" si="6"/>
        <v>-41560188.979999781</v>
      </c>
      <c r="H18" s="73">
        <f t="shared" si="6"/>
        <v>544763161.72950077</v>
      </c>
      <c r="I18" s="73">
        <f>H18-G18</f>
        <v>586323350.70950055</v>
      </c>
      <c r="J18" s="331">
        <f t="shared" si="3"/>
        <v>1.0762903806638751</v>
      </c>
      <c r="K18" s="145">
        <f>SUM(K7:K13)+SUM(K15:K17)</f>
        <v>594287085.52309227</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v>242527</v>
      </c>
      <c r="H22" s="733"/>
      <c r="I22" s="44">
        <f>G22-H22</f>
        <v>242527</v>
      </c>
      <c r="J22" s="330" t="e">
        <f t="shared" ref="J22:J28" si="7">IF(I22=0,"",I22/H22)</f>
        <v>#DIV/0!</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v>166278</v>
      </c>
      <c r="D24" s="745"/>
      <c r="E24" s="733"/>
      <c r="F24" s="733"/>
      <c r="G24" s="733"/>
      <c r="H24" s="733"/>
      <c r="I24" s="44">
        <f>G24-H24</f>
        <v>0</v>
      </c>
      <c r="J24" s="330" t="str">
        <f t="shared" si="7"/>
        <v/>
      </c>
      <c r="K24" s="735"/>
    </row>
    <row r="25" spans="1:11" ht="12.75" customHeight="1" x14ac:dyDescent="0.25">
      <c r="A25" s="39" t="s">
        <v>888</v>
      </c>
      <c r="B25" s="169"/>
      <c r="C25" s="748">
        <v>17040365</v>
      </c>
      <c r="D25" s="745"/>
      <c r="E25" s="733"/>
      <c r="F25" s="733"/>
      <c r="G25" s="733"/>
      <c r="H25" s="733"/>
      <c r="I25" s="44">
        <f>G25-H25</f>
        <v>0</v>
      </c>
      <c r="J25" s="330" t="str">
        <f t="shared" si="7"/>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v>-399050648</v>
      </c>
      <c r="D27" s="745">
        <v>-580891580.99999988</v>
      </c>
      <c r="E27" s="733">
        <v>-747190357.77999985</v>
      </c>
      <c r="F27" s="733">
        <v>-51745663.259999998</v>
      </c>
      <c r="G27" s="733">
        <v>-33432797.490000002</v>
      </c>
      <c r="H27" s="733">
        <f>E27/12*11</f>
        <v>-684924494.63166654</v>
      </c>
      <c r="I27" s="44">
        <f>H27-G27</f>
        <v>-651491697.14166653</v>
      </c>
      <c r="J27" s="330">
        <f t="shared" si="7"/>
        <v>0.95118761593133083</v>
      </c>
      <c r="K27" s="735">
        <f>E27</f>
        <v>-747190357.77999985</v>
      </c>
    </row>
    <row r="28" spans="1:11" ht="12.75" customHeight="1" x14ac:dyDescent="0.25">
      <c r="A28" s="92" t="s">
        <v>890</v>
      </c>
      <c r="B28" s="233"/>
      <c r="C28" s="545">
        <f t="shared" ref="C28:H28" si="8">SUM(C22:C25)+C27</f>
        <v>-381844005</v>
      </c>
      <c r="D28" s="74">
        <f>SUM(D22:D25)+D27</f>
        <v>-580891580.99999988</v>
      </c>
      <c r="E28" s="73">
        <f t="shared" si="8"/>
        <v>-747190357.77999985</v>
      </c>
      <c r="F28" s="73">
        <f t="shared" si="8"/>
        <v>-51745663.259999998</v>
      </c>
      <c r="G28" s="73">
        <f t="shared" si="8"/>
        <v>-33190270.490000002</v>
      </c>
      <c r="H28" s="73">
        <f t="shared" si="8"/>
        <v>-684924494.63166654</v>
      </c>
      <c r="I28" s="73">
        <f>H28-G28</f>
        <v>-651734224.14166653</v>
      </c>
      <c r="J28" s="331">
        <f t="shared" si="7"/>
        <v>0.95154170897647805</v>
      </c>
      <c r="K28" s="145">
        <f>SUM(K22:K25)+K27</f>
        <v>-747190357.77999985</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9">IF(I32=0,"",I32/H32)</f>
        <v/>
      </c>
      <c r="K32" s="735"/>
    </row>
    <row r="33" spans="1:11" ht="12.75" customHeight="1" x14ac:dyDescent="0.25">
      <c r="A33" s="39" t="s">
        <v>958</v>
      </c>
      <c r="B33" s="169"/>
      <c r="C33" s="748"/>
      <c r="D33" s="745"/>
      <c r="E33" s="733"/>
      <c r="F33" s="733"/>
      <c r="G33" s="733"/>
      <c r="H33" s="733"/>
      <c r="I33" s="44">
        <f>G33-H33</f>
        <v>0</v>
      </c>
      <c r="J33" s="330" t="str">
        <f t="shared" si="9"/>
        <v/>
      </c>
      <c r="K33" s="735"/>
    </row>
    <row r="34" spans="1:11" ht="12.75" customHeight="1" x14ac:dyDescent="0.25">
      <c r="A34" s="39" t="s">
        <v>70</v>
      </c>
      <c r="B34" s="169"/>
      <c r="C34" s="748"/>
      <c r="D34" s="745"/>
      <c r="E34" s="733"/>
      <c r="F34" s="733"/>
      <c r="G34" s="733"/>
      <c r="H34" s="733"/>
      <c r="I34" s="44">
        <f>G34-H34</f>
        <v>0</v>
      </c>
      <c r="J34" s="330" t="str">
        <f t="shared" si="9"/>
        <v/>
      </c>
      <c r="K34" s="735"/>
    </row>
    <row r="35" spans="1:11" ht="12.75" customHeight="1" x14ac:dyDescent="0.25">
      <c r="A35" s="87" t="s">
        <v>897</v>
      </c>
      <c r="B35" s="169"/>
      <c r="C35" s="134"/>
      <c r="D35" s="46"/>
      <c r="E35" s="44"/>
      <c r="F35" s="44"/>
      <c r="G35" s="44"/>
      <c r="H35" s="44"/>
      <c r="I35" s="44"/>
      <c r="J35" s="330" t="str">
        <f t="shared" si="9"/>
        <v/>
      </c>
      <c r="K35" s="144"/>
    </row>
    <row r="36" spans="1:11" ht="12.75" customHeight="1" x14ac:dyDescent="0.25">
      <c r="A36" s="39" t="s">
        <v>899</v>
      </c>
      <c r="B36" s="169"/>
      <c r="C36" s="748">
        <v>-83600511</v>
      </c>
      <c r="D36" s="745">
        <v>-79206000</v>
      </c>
      <c r="E36" s="733">
        <v>-79206000</v>
      </c>
      <c r="F36" s="733">
        <v>-19566786.379999999</v>
      </c>
      <c r="G36" s="733">
        <v>-20256190.370000001</v>
      </c>
      <c r="H36" s="733">
        <f>E36/12*11</f>
        <v>-72605500</v>
      </c>
      <c r="I36" s="44">
        <f>H36-G36</f>
        <v>-52349309.629999995</v>
      </c>
      <c r="J36" s="330">
        <f t="shared" si="9"/>
        <v>0.72101024894808241</v>
      </c>
      <c r="K36" s="735">
        <f>E36</f>
        <v>-79206000</v>
      </c>
    </row>
    <row r="37" spans="1:11" ht="12.75" customHeight="1" x14ac:dyDescent="0.25">
      <c r="A37" s="92" t="s">
        <v>891</v>
      </c>
      <c r="B37" s="233"/>
      <c r="C37" s="545">
        <f t="shared" ref="C37:H37" si="10">SUM(C32:C34)+C36</f>
        <v>-83600511</v>
      </c>
      <c r="D37" s="74">
        <f t="shared" si="10"/>
        <v>-79206000</v>
      </c>
      <c r="E37" s="73">
        <f t="shared" si="10"/>
        <v>-79206000</v>
      </c>
      <c r="F37" s="73">
        <f t="shared" si="10"/>
        <v>-19566786.379999999</v>
      </c>
      <c r="G37" s="73">
        <f t="shared" si="10"/>
        <v>-20256190.370000001</v>
      </c>
      <c r="H37" s="73">
        <f t="shared" si="10"/>
        <v>-72605500</v>
      </c>
      <c r="I37" s="73">
        <f>H37-G37</f>
        <v>-52349309.629999995</v>
      </c>
      <c r="J37" s="331">
        <f t="shared" si="9"/>
        <v>0.72101024894808241</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11">C18+C28+C37</f>
        <v>210781720</v>
      </c>
      <c r="D39" s="51">
        <f t="shared" si="11"/>
        <v>92435849.432561994</v>
      </c>
      <c r="E39" s="50">
        <f t="shared" si="11"/>
        <v>-232109272.25690758</v>
      </c>
      <c r="F39" s="50">
        <f t="shared" si="11"/>
        <v>-182890323.93999994</v>
      </c>
      <c r="G39" s="50">
        <f t="shared" si="11"/>
        <v>-95006649.839999795</v>
      </c>
      <c r="H39" s="50">
        <f t="shared" si="11"/>
        <v>-212766832.90216577</v>
      </c>
      <c r="I39" s="327"/>
      <c r="J39" s="327"/>
      <c r="K39" s="194">
        <f>K18+K28+K37</f>
        <v>-232109272.25690758</v>
      </c>
    </row>
    <row r="40" spans="1:11" ht="12.75" customHeight="1" x14ac:dyDescent="0.25">
      <c r="A40" s="39" t="s">
        <v>505</v>
      </c>
      <c r="B40" s="169"/>
      <c r="C40" s="748">
        <v>308195245</v>
      </c>
      <c r="D40" s="745">
        <v>290000000</v>
      </c>
      <c r="E40" s="733">
        <v>518976967</v>
      </c>
      <c r="F40" s="273"/>
      <c r="G40" s="733">
        <v>470048249</v>
      </c>
      <c r="H40" s="44">
        <f>IF(E40=0, D40, E40)</f>
        <v>518976967</v>
      </c>
      <c r="I40" s="273"/>
      <c r="J40" s="273"/>
      <c r="K40" s="385">
        <f>G40</f>
        <v>470048249</v>
      </c>
    </row>
    <row r="41" spans="1:11" ht="12.75" customHeight="1" x14ac:dyDescent="0.25">
      <c r="A41" s="129" t="s">
        <v>55</v>
      </c>
      <c r="B41" s="119"/>
      <c r="C41" s="225">
        <f>C39+C40</f>
        <v>518976965</v>
      </c>
      <c r="D41" s="116">
        <f>D39+D40</f>
        <v>382435849.43256199</v>
      </c>
      <c r="E41" s="115">
        <f>E39+E40</f>
        <v>286867694.74309242</v>
      </c>
      <c r="F41" s="274"/>
      <c r="G41" s="115">
        <f>G39+G40</f>
        <v>375041599.16000021</v>
      </c>
      <c r="H41" s="115">
        <f>H39+H40</f>
        <v>306210134.09783423</v>
      </c>
      <c r="I41" s="274"/>
      <c r="J41" s="274"/>
      <c r="K41" s="190">
        <f>K39+K40</f>
        <v>237938976.74309242</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activeCell="C16" sqref="C16"/>
    </sheetView>
  </sheetViews>
  <sheetFormatPr defaultColWidth="9.140625" defaultRowHeight="12.75" x14ac:dyDescent="0.25"/>
  <cols>
    <col min="1" max="1" width="4" style="68" customWidth="1"/>
    <col min="2" max="2" width="25.7109375" style="25" customWidth="1"/>
    <col min="3" max="3" width="8.7109375" style="25" customWidth="1"/>
    <col min="4" max="5" width="35.7109375" style="25" customWidth="1"/>
    <col min="6" max="16384" width="9.140625" style="25"/>
  </cols>
  <sheetData>
    <row r="1" spans="1:5" ht="13.5" x14ac:dyDescent="0.25">
      <c r="A1" s="1056" t="str">
        <f>muni&amp; " - "&amp;S71G&amp; " - "&amp;date</f>
        <v>KZN225 Msunduzi - Supporting Table SC1 Material variance explanations  - M11 May</v>
      </c>
      <c r="B1" s="1056"/>
      <c r="C1" s="1056"/>
      <c r="D1" s="1056"/>
      <c r="E1" s="1056"/>
    </row>
    <row r="2" spans="1:5" x14ac:dyDescent="0.25">
      <c r="A2" s="1038" t="str">
        <f>head27</f>
        <v>Ref</v>
      </c>
      <c r="B2" s="1045" t="str">
        <f>desc</f>
        <v>Description</v>
      </c>
      <c r="C2" s="269"/>
      <c r="D2" s="269"/>
      <c r="E2" s="275"/>
    </row>
    <row r="3" spans="1:5" x14ac:dyDescent="0.25">
      <c r="A3" s="1049"/>
      <c r="B3" s="1046"/>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ht="11.25" customHeight="1" x14ac:dyDescent="0.25">
      <c r="A6" s="169"/>
      <c r="B6" s="758" t="s">
        <v>963</v>
      </c>
      <c r="C6" s="1005">
        <v>-0.53051261382853954</v>
      </c>
      <c r="D6" s="758" t="s">
        <v>1476</v>
      </c>
      <c r="E6" s="758" t="s">
        <v>1477</v>
      </c>
    </row>
    <row r="7" spans="1:5" ht="11.25" customHeight="1" x14ac:dyDescent="0.25">
      <c r="A7" s="169"/>
      <c r="B7" s="758" t="s">
        <v>838</v>
      </c>
      <c r="C7" s="1005">
        <v>-0.50317203771218966</v>
      </c>
      <c r="D7" s="758" t="s">
        <v>1478</v>
      </c>
      <c r="E7" s="758" t="s">
        <v>1477</v>
      </c>
    </row>
    <row r="8" spans="1:5" ht="11.25" customHeight="1" x14ac:dyDescent="0.25">
      <c r="A8" s="169"/>
      <c r="B8" s="758" t="s">
        <v>1117</v>
      </c>
      <c r="C8" s="1005">
        <v>9.0225122700099014</v>
      </c>
      <c r="D8" s="758" t="s">
        <v>1479</v>
      </c>
      <c r="E8" s="758" t="s">
        <v>1480</v>
      </c>
    </row>
    <row r="9" spans="1:5" ht="11.25" customHeight="1" x14ac:dyDescent="0.25">
      <c r="A9" s="169"/>
      <c r="B9" s="758" t="s">
        <v>840</v>
      </c>
      <c r="C9" s="1005">
        <v>-0.49632474887230166</v>
      </c>
      <c r="D9" s="758" t="s">
        <v>1481</v>
      </c>
      <c r="E9" s="758" t="s">
        <v>1477</v>
      </c>
    </row>
    <row r="10" spans="1:5" ht="11.25" customHeight="1" x14ac:dyDescent="0.25">
      <c r="A10" s="169">
        <v>2</v>
      </c>
      <c r="B10" s="386" t="str">
        <f>'C4-FinPerf RE'!A24</f>
        <v>Expenditure By Type</v>
      </c>
      <c r="C10" s="387"/>
      <c r="D10" s="387"/>
      <c r="E10" s="387"/>
    </row>
    <row r="11" spans="1:5" ht="11.25" customHeight="1" x14ac:dyDescent="0.25">
      <c r="A11" s="169"/>
      <c r="B11" s="758" t="s">
        <v>611</v>
      </c>
      <c r="C11" s="1005">
        <v>-0.19775481027246997</v>
      </c>
      <c r="D11" s="758" t="s">
        <v>1482</v>
      </c>
      <c r="E11" s="758" t="s">
        <v>1483</v>
      </c>
    </row>
    <row r="12" spans="1:5" ht="11.25" customHeight="1" x14ac:dyDescent="0.25">
      <c r="A12" s="169"/>
      <c r="B12" s="758" t="s">
        <v>664</v>
      </c>
      <c r="C12" s="1005">
        <v>-0.12214409801359463</v>
      </c>
      <c r="D12" s="758" t="s">
        <v>1484</v>
      </c>
      <c r="E12" s="758" t="s">
        <v>1483</v>
      </c>
    </row>
    <row r="13" spans="1:5" ht="11.25" customHeight="1" x14ac:dyDescent="0.25">
      <c r="A13" s="169"/>
      <c r="B13" s="758" t="s">
        <v>920</v>
      </c>
      <c r="C13" s="1005">
        <v>-0.19610327133496283</v>
      </c>
      <c r="D13" s="758" t="s">
        <v>1485</v>
      </c>
      <c r="E13" s="758" t="s">
        <v>1486</v>
      </c>
    </row>
    <row r="14" spans="1:5" ht="11.25" customHeight="1" x14ac:dyDescent="0.25">
      <c r="A14" s="169"/>
      <c r="B14" s="758" t="s">
        <v>1118</v>
      </c>
      <c r="C14" s="1005">
        <v>-0.21796828693207076</v>
      </c>
      <c r="D14" s="758" t="s">
        <v>1487</v>
      </c>
      <c r="E14" s="758" t="s">
        <v>1486</v>
      </c>
    </row>
    <row r="15" spans="1:5" ht="11.25" customHeight="1" x14ac:dyDescent="0.25">
      <c r="A15" s="169">
        <v>3</v>
      </c>
      <c r="B15" s="386" t="str">
        <f>RIGHT('C5-Capex'!A40,19)</f>
        <v>Capital Expenditure</v>
      </c>
      <c r="C15" s="387"/>
      <c r="D15" s="387"/>
      <c r="E15" s="387"/>
    </row>
    <row r="16" spans="1:5" ht="11.25" customHeight="1" x14ac:dyDescent="0.25">
      <c r="A16" s="169"/>
      <c r="B16" s="758" t="s">
        <v>892</v>
      </c>
      <c r="C16" s="1005">
        <v>-0.38654768456491689</v>
      </c>
      <c r="D16" s="758" t="s">
        <v>1488</v>
      </c>
      <c r="E16" s="758" t="s">
        <v>1487</v>
      </c>
    </row>
    <row r="17" spans="1:5" ht="11.25" customHeight="1" x14ac:dyDescent="0.25">
      <c r="A17" s="169"/>
      <c r="B17" s="758"/>
      <c r="C17" s="748"/>
      <c r="D17" s="758"/>
      <c r="E17" s="758"/>
    </row>
    <row r="18" spans="1:5" ht="11.25" customHeight="1" x14ac:dyDescent="0.25">
      <c r="A18" s="169"/>
      <c r="B18" s="758"/>
      <c r="C18" s="748"/>
      <c r="D18" s="758"/>
      <c r="E18" s="758"/>
    </row>
    <row r="19" spans="1:5" ht="11.25" customHeight="1" x14ac:dyDescent="0.25">
      <c r="A19" s="169"/>
      <c r="B19" s="758"/>
      <c r="C19" s="748"/>
      <c r="D19" s="758"/>
      <c r="E19" s="758"/>
    </row>
    <row r="20" spans="1:5" ht="11.25" customHeight="1" x14ac:dyDescent="0.25">
      <c r="A20" s="169">
        <v>4</v>
      </c>
      <c r="B20" s="386" t="s">
        <v>79</v>
      </c>
      <c r="C20" s="387"/>
      <c r="D20" s="387"/>
      <c r="E20" s="387"/>
    </row>
    <row r="21" spans="1:5" ht="11.25" customHeight="1" x14ac:dyDescent="0.25">
      <c r="A21" s="169"/>
      <c r="B21" s="758"/>
      <c r="C21" s="748"/>
      <c r="D21" s="758"/>
      <c r="E21" s="758"/>
    </row>
    <row r="22" spans="1:5" ht="11.25" customHeight="1" x14ac:dyDescent="0.25">
      <c r="A22" s="169"/>
      <c r="B22" s="758"/>
      <c r="C22" s="748"/>
      <c r="D22" s="758"/>
      <c r="E22" s="758"/>
    </row>
    <row r="23" spans="1:5" ht="11.25" customHeight="1" x14ac:dyDescent="0.25">
      <c r="A23" s="169"/>
      <c r="B23" s="758"/>
      <c r="C23" s="748"/>
      <c r="D23" s="758"/>
      <c r="E23" s="758"/>
    </row>
    <row r="24" spans="1:5" ht="11.25" customHeight="1" x14ac:dyDescent="0.25">
      <c r="A24" s="169"/>
      <c r="B24" s="758"/>
      <c r="C24" s="748"/>
      <c r="D24" s="758"/>
      <c r="E24" s="758"/>
    </row>
    <row r="25" spans="1:5" ht="11.25" customHeight="1" x14ac:dyDescent="0.25">
      <c r="A25" s="169">
        <v>5</v>
      </c>
      <c r="B25" s="386" t="s">
        <v>80</v>
      </c>
      <c r="C25" s="387"/>
      <c r="D25" s="387"/>
      <c r="E25" s="387"/>
    </row>
    <row r="26" spans="1:5" ht="11.25" customHeight="1" x14ac:dyDescent="0.25">
      <c r="A26" s="169"/>
      <c r="B26" s="758"/>
      <c r="C26" s="748"/>
      <c r="D26" s="758"/>
      <c r="E26" s="758"/>
    </row>
    <row r="27" spans="1:5" ht="11.25" customHeight="1" x14ac:dyDescent="0.25">
      <c r="A27" s="169"/>
      <c r="B27" s="758"/>
      <c r="C27" s="748"/>
      <c r="D27" s="758"/>
      <c r="E27" s="758"/>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v>6</v>
      </c>
      <c r="B30" s="386" t="s">
        <v>81</v>
      </c>
      <c r="C30" s="388"/>
      <c r="D30" s="387"/>
      <c r="E30" s="387"/>
    </row>
    <row r="31" spans="1:5" ht="11.25" customHeight="1" x14ac:dyDescent="0.25">
      <c r="A31" s="169"/>
      <c r="B31" s="758"/>
      <c r="C31" s="748"/>
      <c r="D31" s="758"/>
      <c r="E31" s="758"/>
    </row>
    <row r="32" spans="1:5" ht="11.25" customHeight="1" x14ac:dyDescent="0.25">
      <c r="A32" s="169"/>
      <c r="B32" s="758"/>
      <c r="C32" s="748"/>
      <c r="D32" s="758"/>
      <c r="E32" s="758"/>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v>7</v>
      </c>
      <c r="B35" s="386" t="s">
        <v>82</v>
      </c>
      <c r="C35" s="388"/>
      <c r="D35" s="387"/>
      <c r="E35" s="387"/>
    </row>
    <row r="36" spans="1:5" ht="11.25" customHeight="1" x14ac:dyDescent="0.25">
      <c r="A36" s="169"/>
      <c r="B36" s="758"/>
      <c r="C36" s="748"/>
      <c r="D36" s="758"/>
      <c r="E36" s="758"/>
    </row>
    <row r="37" spans="1:5" ht="11.25" customHeight="1" x14ac:dyDescent="0.25">
      <c r="A37" s="169"/>
      <c r="B37" s="758"/>
      <c r="C37" s="748"/>
      <c r="D37" s="758"/>
      <c r="E37" s="758"/>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19"/>
      <c r="B40" s="759"/>
      <c r="C40" s="760"/>
      <c r="D40" s="759"/>
      <c r="E40" s="759"/>
    </row>
    <row r="41" spans="1:5" ht="11.25" customHeight="1" x14ac:dyDescent="0.25">
      <c r="A41" s="78" t="str">
        <f>head27a</f>
        <v>References</v>
      </c>
      <c r="B41" s="67"/>
      <c r="C41" s="67"/>
      <c r="D41" s="67"/>
      <c r="E41" s="67"/>
    </row>
    <row r="42" spans="1:5" ht="11.25" customHeight="1" x14ac:dyDescent="0.25">
      <c r="A42" s="33" t="s">
        <v>854</v>
      </c>
    </row>
    <row r="43" spans="1:5" ht="11.25" customHeight="1" x14ac:dyDescent="0.25">
      <c r="A43" s="33" t="s">
        <v>855</v>
      </c>
    </row>
    <row r="44" spans="1:5" ht="11.25" customHeight="1" x14ac:dyDescent="0.25">
      <c r="A44" s="33" t="s">
        <v>856</v>
      </c>
    </row>
    <row r="45" spans="1:5" ht="11.25" customHeight="1" x14ac:dyDescent="0.25">
      <c r="A45" s="33" t="s">
        <v>857</v>
      </c>
    </row>
    <row r="46" spans="1:5" ht="11.25" customHeight="1" x14ac:dyDescent="0.25">
      <c r="A46" s="33" t="s">
        <v>858</v>
      </c>
    </row>
    <row r="47" spans="1:5" ht="11.25" customHeight="1" x14ac:dyDescent="0.25">
      <c r="A47" s="33" t="s">
        <v>439</v>
      </c>
    </row>
  </sheetData>
  <sheetProtection sheet="1" objects="1" scenarios="1"/>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5" activePane="bottomRight" state="frozen"/>
      <selection pane="topRight"/>
      <selection pane="bottomLeft"/>
      <selection pane="bottomRight" sqref="A1:H1"/>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6" t="str">
        <f>muni&amp; " - "&amp;S71H&amp; " - "&amp;Head57</f>
        <v>KZN225 Msunduzi - Supporting Table SC2 Monthly Budget Statement - performance indicators   - M11 May</v>
      </c>
      <c r="B1" s="1056"/>
      <c r="C1" s="1056"/>
      <c r="D1" s="1056"/>
      <c r="E1" s="1056"/>
      <c r="F1" s="1056"/>
      <c r="G1" s="1056"/>
      <c r="H1" s="1056"/>
    </row>
    <row r="2" spans="1:11" ht="12.75" x14ac:dyDescent="0.25">
      <c r="A2" s="1061" t="s">
        <v>554</v>
      </c>
      <c r="B2" s="1045" t="s">
        <v>772</v>
      </c>
      <c r="C2" s="1038" t="str">
        <f>head27</f>
        <v>Ref</v>
      </c>
      <c r="D2" s="138" t="str">
        <f>Head1</f>
        <v>2019/20</v>
      </c>
      <c r="E2" s="245" t="str">
        <f>Head2</f>
        <v>Budget Year 2020/21</v>
      </c>
      <c r="F2" s="229"/>
      <c r="G2" s="229"/>
      <c r="H2" s="230"/>
    </row>
    <row r="3" spans="1:11" ht="25.5" x14ac:dyDescent="0.25">
      <c r="A3" s="1062"/>
      <c r="B3" s="1046"/>
      <c r="C3" s="1049"/>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-7.1647309115251481E-3</v>
      </c>
      <c r="E7" s="282">
        <f>IF(ISERROR((E42+E44)/E45),0,((E42+E44)/E45))</f>
        <v>9.4577502287489235E-2</v>
      </c>
      <c r="F7" s="124">
        <f>IF(ISERROR((F42+F44)/F45),0,((F42+F44)/F45))</f>
        <v>9.1474170348435677E-2</v>
      </c>
      <c r="G7" s="124">
        <f>IF(ISERROR((G42+G44)/G45),0,((G42+G44)/G45))</f>
        <v>6.8766997942927019E-3</v>
      </c>
      <c r="H7" s="276">
        <f>IF(ISERROR((H42+H44)/H45),0,((H42+H44)/H45))</f>
        <v>1.5891650905154837E-2</v>
      </c>
    </row>
    <row r="8" spans="1:11" ht="30" customHeight="1" x14ac:dyDescent="0.25">
      <c r="A8" s="126" t="s">
        <v>1056</v>
      </c>
      <c r="B8" s="123" t="s">
        <v>66</v>
      </c>
      <c r="C8" s="174"/>
      <c r="D8" s="120">
        <f>IF(ISERROR(D47/D46),0,(D47/D46))</f>
        <v>8.8147799056388886E-3</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0.25479780619859965</v>
      </c>
      <c r="E10" s="282">
        <f>IF(ISERROR(E48/E49),0,(E48/E49))</f>
        <v>0.16733458655357425</v>
      </c>
      <c r="F10" s="124">
        <f>IF(ISERROR(F48/F49),0,(F48/F49))</f>
        <v>0.15661898686274364</v>
      </c>
      <c r="G10" s="124">
        <f>IF(ISERROR(G48/G49),0,(G48/G49))</f>
        <v>0.20318797667866012</v>
      </c>
      <c r="H10" s="276">
        <f>IF(ISERROR(H48/H49),0,(H48/H49))</f>
        <v>0.15661898686274364</v>
      </c>
    </row>
    <row r="11" spans="1:11" ht="12.75" customHeight="1" x14ac:dyDescent="0.25">
      <c r="A11" s="126" t="s">
        <v>735</v>
      </c>
      <c r="B11" s="123" t="s">
        <v>719</v>
      </c>
      <c r="C11" s="174"/>
      <c r="D11" s="120">
        <f>IF(ISERROR(D51/D50),0,(D51/D50))</f>
        <v>1.4950077443904866</v>
      </c>
      <c r="E11" s="282">
        <f>IF(ISERROR(E51/E50),0,(E51/E50))</f>
        <v>1.2322813430054802</v>
      </c>
      <c r="F11" s="124">
        <f>IF(ISERROR(F51/F50),0,(F51/F50))</f>
        <v>1.2322813424894716</v>
      </c>
      <c r="G11" s="124">
        <f>IF(ISERROR(G51/G50),0,(G51/G50))</f>
        <v>1.4834006464561413</v>
      </c>
      <c r="H11" s="276">
        <f>IF(ISERROR(H51/H50),0,(H51/H50))</f>
        <v>1.2322813424894716</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1.5115547008189762</v>
      </c>
      <c r="E13" s="282">
        <f>IF(ISERROR(E52/E53),0,(E52/E53))</f>
        <v>2.0616681210508312</v>
      </c>
      <c r="F13" s="124">
        <f>IF(ISERROR(F52/F53),0,(F52/F53))</f>
        <v>2.0018418250186891</v>
      </c>
      <c r="G13" s="124">
        <f>IF(ISERROR(G52/G53),0,(G52/G53))</f>
        <v>1.7886856907116857</v>
      </c>
      <c r="H13" s="276">
        <f>IF(ISERROR(H52/H53),0,(H52/H53))</f>
        <v>2.0018418250186891</v>
      </c>
    </row>
    <row r="14" spans="1:11" ht="12.75" customHeight="1" x14ac:dyDescent="0.25">
      <c r="A14" s="126" t="s">
        <v>738</v>
      </c>
      <c r="B14" s="123" t="s">
        <v>436</v>
      </c>
      <c r="C14" s="174"/>
      <c r="D14" s="120">
        <f>IF(ISERROR(D54/D53),0,(D54/D53))</f>
        <v>0.27410833643319005</v>
      </c>
      <c r="E14" s="282">
        <f>IF(ISERROR(E54/E53),0,(E54/E53))</f>
        <v>0.26526391167695329</v>
      </c>
      <c r="F14" s="124">
        <f>IF(ISERROR(F54/F53),0,(F54/F53))</f>
        <v>0.21315022863159416</v>
      </c>
      <c r="G14" s="124">
        <f>IF(ISERROR(G54/G53),0,(G54/G53))</f>
        <v>0.25730962228956505</v>
      </c>
      <c r="H14" s="276">
        <f>IF(ISERROR(H54/H53),0,(H54/H53))</f>
        <v>0.21315022863159416</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0.37349462850669568</v>
      </c>
      <c r="E17" s="282">
        <f>IF(ISERROR(E59/E55),0,(E59/E55))</f>
        <v>0.43153265012765485</v>
      </c>
      <c r="F17" s="124">
        <f>IF(ISERROR(F59/F55),0,(F59/F55))</f>
        <v>0.36846844655614924</v>
      </c>
      <c r="G17" s="124">
        <f>IF(ISERROR(G59/G55),0,(G59/G55))</f>
        <v>0.36083032992400382</v>
      </c>
      <c r="H17" s="276">
        <f>IF(ISERROR(H59/H55),0,(H59/H55))</f>
        <v>0.36846844655614924</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0.25102694983184909</v>
      </c>
      <c r="E26" s="282">
        <f>IF(ISERROR(E40/E55),0,(E40/E55))</f>
        <v>0.2498093445303802</v>
      </c>
      <c r="F26" s="124">
        <f>IF(ISERROR(F40/F55),0,(F40/F55))</f>
        <v>0.2432458135998426</v>
      </c>
      <c r="G26" s="124">
        <f>IF(ISERROR(G40/G55),0,(G40/G55))</f>
        <v>0.23836285282435435</v>
      </c>
      <c r="H26" s="276">
        <f>IF(ISERROR(H40/H55),0,(H40/H55))</f>
        <v>0.2432458135998426</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8.607034558627355E-2</v>
      </c>
      <c r="E28" s="282">
        <f>IF(ISERROR((E42+E44)/E55),0,((E42+E44)/E55))</f>
        <v>8.8163465498190249E-2</v>
      </c>
      <c r="F28" s="124">
        <f>IF(ISERROR((F42+F44)/F55),0,((F42+F44)/F55))</f>
        <v>8.5600617304391807E-2</v>
      </c>
      <c r="G28" s="124">
        <f>IF(ISERROR((G42+G44)/G55),0,((G42+G44)/G55))</f>
        <v>6.4126453309027408E-3</v>
      </c>
      <c r="H28" s="276">
        <f>IF(ISERROR((H42+H44)/H55),0,((H42+H44)/H55))</f>
        <v>1.487124859712285E-2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285317995.64999998</v>
      </c>
      <c r="E38" s="84">
        <f>'C6-FinPos'!D38</f>
        <v>282085537</v>
      </c>
      <c r="F38" s="84">
        <f>'C6-FinPos'!E38</f>
        <v>282085537</v>
      </c>
      <c r="G38" s="97">
        <f>'C6-FinPos'!F38</f>
        <v>285317995.64999998</v>
      </c>
      <c r="H38" s="48">
        <v>0</v>
      </c>
    </row>
    <row r="39" spans="1:9" ht="12.75" customHeight="1" x14ac:dyDescent="0.25">
      <c r="A39" s="42" t="s">
        <v>528</v>
      </c>
      <c r="B39" s="67"/>
      <c r="C39" s="67"/>
      <c r="D39" s="84">
        <f>'C6-FinPos'!C26</f>
        <v>10649230298.57</v>
      </c>
      <c r="E39" s="84">
        <f>'C6-FinPos'!D26</f>
        <v>11312770417.220949</v>
      </c>
      <c r="F39" s="84">
        <f>'C6-FinPos'!E26</f>
        <v>11205428173.43997</v>
      </c>
      <c r="G39" s="97">
        <f>'C6-FinPos'!F26</f>
        <v>10029382666.320004</v>
      </c>
      <c r="H39" s="48">
        <f>'C6-FinPos'!G26</f>
        <v>11205428173.43997</v>
      </c>
    </row>
    <row r="40" spans="1:9" ht="12.75" customHeight="1" x14ac:dyDescent="0.25">
      <c r="A40" s="42" t="str">
        <f>'C4-FinPerf RE'!A25</f>
        <v>Employee related costs</v>
      </c>
      <c r="B40" s="67"/>
      <c r="C40" s="67"/>
      <c r="D40" s="84">
        <f>'C4-FinPerf RE'!C25</f>
        <v>1345486985</v>
      </c>
      <c r="E40" s="84">
        <f>'C4-FinPerf RE'!D25</f>
        <v>1478324301.5741799</v>
      </c>
      <c r="F40" s="84">
        <f>'C4-FinPerf RE'!E25</f>
        <v>1474657970.2495086</v>
      </c>
      <c r="G40" s="97">
        <f>'C4-FinPerf RE'!G25</f>
        <v>1234682866.9000008</v>
      </c>
      <c r="H40" s="48">
        <f>'C4-FinPerf RE'!K25</f>
        <v>1474657970.2495086</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43716970</v>
      </c>
      <c r="E42" s="84">
        <f>'C4-FinPerf RE'!D29</f>
        <v>31793212.220000003</v>
      </c>
      <c r="F42" s="84">
        <f>'C4-FinPerf RE'!E29</f>
        <v>36505334.219999969</v>
      </c>
      <c r="G42" s="97">
        <f>'C4-FinPerf RE'!G29</f>
        <v>33216515.189999998</v>
      </c>
      <c r="H42" s="48">
        <f>'C4-FinPerf RE'!K29</f>
        <v>36505334.219999969</v>
      </c>
    </row>
    <row r="43" spans="1:9" ht="12.75" customHeight="1" x14ac:dyDescent="0.25">
      <c r="A43" s="42" t="s">
        <v>84</v>
      </c>
      <c r="B43" s="67"/>
      <c r="C43" s="67"/>
      <c r="D43" s="84">
        <f>-'C7-CFlow'!C36</f>
        <v>83600511</v>
      </c>
      <c r="E43" s="84">
        <f>-'C7-CFlow'!D36</f>
        <v>79206000</v>
      </c>
      <c r="F43" s="84">
        <f>-'C7-CFlow'!E36</f>
        <v>79206000</v>
      </c>
      <c r="G43" s="97">
        <f>-'C7-CFlow'!G36</f>
        <v>20256190.370000001</v>
      </c>
      <c r="H43" s="48">
        <f>-'C7-CFlow'!K36</f>
        <v>79206000</v>
      </c>
    </row>
    <row r="44" spans="1:9" ht="12.75" customHeight="1" x14ac:dyDescent="0.25">
      <c r="A44" s="42" t="s">
        <v>530</v>
      </c>
      <c r="B44" s="67"/>
      <c r="C44" s="67"/>
      <c r="D44" s="84">
        <f>'C4-FinPerf RE'!C28</f>
        <v>417614093.69000024</v>
      </c>
      <c r="E44" s="84">
        <f>'C4-FinPerf RE'!D28</f>
        <v>489941448.27473986</v>
      </c>
      <c r="F44" s="84">
        <f>'C4-FinPerf RE'!E28</f>
        <v>482441449.27473998</v>
      </c>
      <c r="G44" s="97"/>
      <c r="H44" s="48">
        <f>'C4-FinPerf RE'!K26</f>
        <v>53650401.439999998</v>
      </c>
    </row>
    <row r="45" spans="1:9" ht="12.75" customHeight="1" x14ac:dyDescent="0.25">
      <c r="A45" s="42" t="s">
        <v>0</v>
      </c>
      <c r="B45" s="67"/>
      <c r="C45" s="67"/>
      <c r="D45" s="84">
        <f>'C4-FinPerf RE'!C36</f>
        <v>5566648837.5499973</v>
      </c>
      <c r="E45" s="84">
        <f>'C4-FinPerf RE'!D36</f>
        <v>5516477469.5446281</v>
      </c>
      <c r="F45" s="84">
        <f>'C4-FinPerf RE'!E36</f>
        <v>5673151027.4213114</v>
      </c>
      <c r="G45" s="97">
        <f>'C4-FinPerf RE'!G36</f>
        <v>4830298861.8999996</v>
      </c>
      <c r="H45" s="48">
        <f>'C4-FinPerf RE'!K36</f>
        <v>5673151027.4213114</v>
      </c>
    </row>
    <row r="46" spans="1:9" ht="12.75" customHeight="1" x14ac:dyDescent="0.25">
      <c r="A46" s="42" t="str">
        <f>'C5-Capex'!A40</f>
        <v>Total Capital Expenditure</v>
      </c>
      <c r="B46" s="67"/>
      <c r="C46" s="67"/>
      <c r="D46" s="84">
        <f>'C5-Capex'!C40</f>
        <v>479855222.16999996</v>
      </c>
      <c r="E46" s="84">
        <f>'C5-Capex'!D40</f>
        <v>580891581</v>
      </c>
      <c r="F46" s="84">
        <f>'C5-Capex'!E40</f>
        <v>747190359.77999997</v>
      </c>
      <c r="G46" s="97">
        <f>'C5-Capex'!G40</f>
        <v>420492778.13</v>
      </c>
      <c r="H46" s="48">
        <f>'C5-Capex'!K40</f>
        <v>747190359.77999997</v>
      </c>
    </row>
    <row r="47" spans="1:9" ht="12.75" customHeight="1" x14ac:dyDescent="0.25">
      <c r="A47" s="42" t="s">
        <v>533</v>
      </c>
      <c r="B47" s="67"/>
      <c r="C47" s="67"/>
      <c r="D47" s="84">
        <f>'C5-Capex'!C72</f>
        <v>4229818.17</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2022942859.5700002</v>
      </c>
      <c r="E48" s="84">
        <f>'C6-FinPos'!D30+'C6-FinPos'!D31+'C6-FinPos'!D33+'C6-FinPos'!D38</f>
        <v>1469061645.9769487</v>
      </c>
      <c r="F48" s="84">
        <f>'C6-FinPos'!E30+'C6-FinPos'!E31+'C6-FinPos'!E33+'C6-FinPos'!E38</f>
        <v>1373190758.9767978</v>
      </c>
      <c r="G48" s="84">
        <f>'C6-FinPos'!F30+'C6-FinPos'!F31+'C6-FinPos'!F33+'C6-FinPos'!F38</f>
        <v>1575855243.5799999</v>
      </c>
      <c r="H48" s="48">
        <f>'C6-FinPos'!G30+'C6-FinPos'!G31+'C6-FinPos'!G33+'C6-FinPos'!G38</f>
        <v>1373190758.9767978</v>
      </c>
    </row>
    <row r="49" spans="1:8" ht="12.75" customHeight="1" x14ac:dyDescent="0.25">
      <c r="A49" s="42" t="s">
        <v>532</v>
      </c>
      <c r="B49" s="67"/>
      <c r="C49" s="67"/>
      <c r="D49" s="84">
        <f>'C6-FinPos'!C48</f>
        <v>7939404541</v>
      </c>
      <c r="E49" s="84">
        <f>'C6-FinPos'!D48</f>
        <v>8779187113.8762474</v>
      </c>
      <c r="F49" s="84">
        <f>'C6-FinPos'!E48</f>
        <v>8767715757.0954189</v>
      </c>
      <c r="G49" s="97">
        <f>'C6-FinPos'!F48</f>
        <v>7755652028.9200001</v>
      </c>
      <c r="H49" s="48">
        <f>'C6-FinPos'!G48</f>
        <v>8767715757.0954189</v>
      </c>
    </row>
    <row r="50" spans="1:8" ht="12.75" customHeight="1" x14ac:dyDescent="0.25">
      <c r="A50" s="42" t="str">
        <f>'C6-FinPos'!A47</f>
        <v>Reserves</v>
      </c>
      <c r="B50" s="67"/>
      <c r="C50" s="67"/>
      <c r="D50" s="84">
        <f>'C6-FinPos'!C47</f>
        <v>190847169</v>
      </c>
      <c r="E50" s="84">
        <f>'C6-FinPos'!D47</f>
        <v>228913258</v>
      </c>
      <c r="F50" s="84">
        <f>'C6-FinPos'!E47</f>
        <v>228913258.09585571</v>
      </c>
      <c r="G50" s="97">
        <f>'C6-FinPos'!F47</f>
        <v>192340482.21000001</v>
      </c>
      <c r="H50" s="48">
        <f>'C6-FinPos'!G47</f>
        <v>228913258.09585571</v>
      </c>
    </row>
    <row r="51" spans="1:8" ht="12.75" customHeight="1" x14ac:dyDescent="0.25">
      <c r="A51" s="42" t="str">
        <f>'C6-FinPos'!A38</f>
        <v>Borrowing</v>
      </c>
      <c r="B51" s="67"/>
      <c r="C51" s="67"/>
      <c r="D51" s="84">
        <f>'C6-FinPos'!C38</f>
        <v>285317995.64999998</v>
      </c>
      <c r="E51" s="84">
        <f>'C6-FinPos'!D38</f>
        <v>282085537</v>
      </c>
      <c r="F51" s="84">
        <f>'C6-FinPos'!E38</f>
        <v>282085537</v>
      </c>
      <c r="G51" s="97">
        <f>'C6-FinPos'!F38</f>
        <v>285317995.64999998</v>
      </c>
      <c r="H51" s="48">
        <f>'C6-FinPos'!G38</f>
        <v>282085537</v>
      </c>
    </row>
    <row r="52" spans="1:8" ht="12.75" customHeight="1" x14ac:dyDescent="0.25">
      <c r="A52" s="42" t="str">
        <f>'C6-FinPos'!A6</f>
        <v>Current assets</v>
      </c>
      <c r="B52" s="67"/>
      <c r="C52" s="67"/>
      <c r="D52" s="84">
        <f>'C6-FinPos'!C13</f>
        <v>2861868720.5699997</v>
      </c>
      <c r="E52" s="84">
        <f>'C6-FinPos'!D13</f>
        <v>2972344764.6444831</v>
      </c>
      <c r="F52" s="84">
        <f>'C6-FinPos'!E13</f>
        <v>2694173744.3592668</v>
      </c>
      <c r="G52" s="97">
        <f>'C6-FinPos'!F13</f>
        <v>2606531460.8300004</v>
      </c>
      <c r="H52" s="48">
        <f>'C6-FinPos'!G13</f>
        <v>2694173744.3592668</v>
      </c>
    </row>
    <row r="53" spans="1:8" ht="12.75" customHeight="1" x14ac:dyDescent="0.25">
      <c r="A53" s="42" t="str">
        <f>'C6-FinPos'!A29</f>
        <v>Current liabilities</v>
      </c>
      <c r="B53" s="67"/>
      <c r="C53" s="67"/>
      <c r="D53" s="84">
        <f>'C6-FinPos'!C35</f>
        <v>1893327921.9200001</v>
      </c>
      <c r="E53" s="84">
        <f>'C6-FinPos'!D35</f>
        <v>1441718351.4141357</v>
      </c>
      <c r="F53" s="84">
        <f>'C6-FinPos'!E35</f>
        <v>1345847464.413985</v>
      </c>
      <c r="G53" s="97">
        <f>'C6-FinPos'!F35</f>
        <v>1457232801.9200001</v>
      </c>
      <c r="H53" s="48">
        <f>'C6-FinPos'!G35</f>
        <v>1345847464.413985</v>
      </c>
    </row>
    <row r="54" spans="1:8" ht="12.75" customHeight="1" x14ac:dyDescent="0.25">
      <c r="A54" s="42" t="s">
        <v>534</v>
      </c>
      <c r="B54" s="67"/>
      <c r="C54" s="67"/>
      <c r="D54" s="84">
        <f>'C6-FinPos'!C7+'C6-FinPos'!C8</f>
        <v>518976967</v>
      </c>
      <c r="E54" s="84">
        <f>'C6-FinPos'!D7+'C6-FinPos'!D8</f>
        <v>382435849.43256199</v>
      </c>
      <c r="F54" s="84">
        <f>'C6-FinPos'!E7+'C6-FinPos'!E8</f>
        <v>286867694.74309218</v>
      </c>
      <c r="G54" s="97">
        <f>'C6-FinPos'!F7+'C6-FinPos'!F8</f>
        <v>374960021.84999979</v>
      </c>
      <c r="H54" s="48">
        <f>'C6-FinPos'!G7+'C6-FinPos'!G8</f>
        <v>286867694.74309218</v>
      </c>
    </row>
    <row r="55" spans="1:8" ht="12.75" customHeight="1" x14ac:dyDescent="0.25">
      <c r="A55" s="42" t="str">
        <f>'C4-FinPerf RE'!A22</f>
        <v>Total Revenue (excluding capital transfers and contributions)</v>
      </c>
      <c r="B55" s="67"/>
      <c r="C55" s="67"/>
      <c r="D55" s="84">
        <f>'C4-FinPerf RE'!C22</f>
        <v>5359930421.4200001</v>
      </c>
      <c r="E55" s="84">
        <f>'C4-FinPerf RE'!D22</f>
        <v>5917810257.8720617</v>
      </c>
      <c r="F55" s="84">
        <f>'C4-FinPerf RE'!E22</f>
        <v>6062418704.8720617</v>
      </c>
      <c r="G55" s="97">
        <f>'C4-FinPerf RE'!G22</f>
        <v>5179845988.04</v>
      </c>
      <c r="H55" s="48">
        <f>'C4-FinPerf RE'!K22</f>
        <v>6062418704.8720617</v>
      </c>
    </row>
    <row r="56" spans="1:8" ht="12.75" customHeight="1" x14ac:dyDescent="0.25">
      <c r="A56" s="42" t="str">
        <f>'C4-FinPerf RE'!A19</f>
        <v>Transfers and subsidies</v>
      </c>
      <c r="B56" s="67"/>
      <c r="C56" s="67"/>
      <c r="D56" s="84">
        <f>'C4-FinPerf RE'!C19</f>
        <v>637128044</v>
      </c>
      <c r="E56" s="84">
        <f>'C4-FinPerf RE'!D19</f>
        <v>675483240</v>
      </c>
      <c r="F56" s="84">
        <f>'C4-FinPerf RE'!E19</f>
        <v>819982787</v>
      </c>
      <c r="G56" s="97">
        <f>'C4-FinPerf RE'!G19</f>
        <v>745207087.97000003</v>
      </c>
      <c r="H56" s="48">
        <f>'C4-FinPerf RE'!K19</f>
        <v>819982787</v>
      </c>
    </row>
    <row r="57" spans="1:8" ht="12.75" customHeight="1" x14ac:dyDescent="0.25">
      <c r="A57" s="42" t="str">
        <f>'C4-FinPerf RE'!A39</f>
        <v>Transfers and subsidies - capital (monetary allocations) (National / Provincial and District)</v>
      </c>
      <c r="B57" s="67"/>
      <c r="C57" s="67"/>
      <c r="D57" s="84">
        <f>'C4-FinPerf RE'!C39</f>
        <v>430113748.5</v>
      </c>
      <c r="E57" s="84">
        <f>'C4-FinPerf RE'!D39</f>
        <v>525891580.99999982</v>
      </c>
      <c r="F57" s="84">
        <f>'C4-FinPerf RE'!E39</f>
        <v>526485334.99999982</v>
      </c>
      <c r="G57" s="97">
        <f>'C4-FinPerf RE'!G39</f>
        <v>408514243.01999998</v>
      </c>
      <c r="H57" s="48">
        <f>'C4-FinPerf RE'!K39</f>
        <v>526485334.99999982</v>
      </c>
    </row>
    <row r="58" spans="1:8" ht="12.75" customHeight="1" x14ac:dyDescent="0.25">
      <c r="A58" s="42" t="s">
        <v>446</v>
      </c>
      <c r="B58" s="67"/>
      <c r="C58" s="67"/>
      <c r="D58" s="84">
        <f>'C7-CFlow'!C12+'C7-CFlow'!C36</f>
        <v>-38007179</v>
      </c>
      <c r="E58" s="84">
        <f>'C7-CFlow'!D12+'C7-CFlow'!D36</f>
        <v>105854483.86592242</v>
      </c>
      <c r="F58" s="84">
        <f>'C7-CFlow'!E12+'C7-CFlow'!E36</f>
        <v>105963383.865922</v>
      </c>
      <c r="G58" s="97">
        <f>'C7-CFlow'!G16+'C7-CFlow'!G36</f>
        <v>-32444716.800000001</v>
      </c>
      <c r="H58" s="48">
        <f>'C7-CFlow'!K16+'C7-CFlow'!K36</f>
        <v>-115711334.21999997</v>
      </c>
    </row>
    <row r="59" spans="1:8" ht="12.75" customHeight="1" x14ac:dyDescent="0.25">
      <c r="A59" s="42" t="s">
        <v>527</v>
      </c>
      <c r="B59" s="67"/>
      <c r="C59" s="67"/>
      <c r="D59" s="84">
        <f>'C6-FinPos'!C9+'C6-FinPos'!C10+'C6-FinPos'!C11+'C6-FinPos'!C16</f>
        <v>2001905221.5699997</v>
      </c>
      <c r="E59" s="84">
        <f>'C6-FinPos'!D9+'C6-FinPos'!D10+'C6-FinPos'!D11+'C6-FinPos'!D16</f>
        <v>2553728343.5321512</v>
      </c>
      <c r="F59" s="84">
        <f>'C6-FinPos'!E9+'C6-FinPos'!E10+'C6-FinPos'!E11+'C6-FinPos'!E16</f>
        <v>2233810002.5571508</v>
      </c>
      <c r="G59" s="97">
        <f>'C6-FinPos'!F9+'C6-FinPos'!F10+'C6-FinPos'!F11+'C6-FinPos'!F16</f>
        <v>1869045536.8200009</v>
      </c>
      <c r="H59" s="48">
        <f>'C6-FinPos'!G9+'C6-FinPos'!G10+'C6-FinPos'!G11+'C6-FinPos'!G16</f>
        <v>2233810002.5571508</v>
      </c>
    </row>
    <row r="60" spans="1:8" ht="12.75" customHeight="1" x14ac:dyDescent="0.25">
      <c r="A60" s="42" t="s">
        <v>447</v>
      </c>
      <c r="B60" s="67"/>
      <c r="C60" s="67"/>
      <c r="D60" s="84">
        <f>SUM('C4-FinPerf RE'!C7:C11)</f>
        <v>3104621257.9200001</v>
      </c>
      <c r="E60" s="84">
        <f>SUM('C4-FinPerf RE'!D7:D11)</f>
        <v>3575763602.2929115</v>
      </c>
      <c r="F60" s="84">
        <f>SUM('C4-FinPerf RE'!E7:E11)</f>
        <v>3575763602.2929115</v>
      </c>
      <c r="G60" s="97">
        <f>SUM('C4-FinPerf RE'!G7:G11)</f>
        <v>3056725682.3299999</v>
      </c>
      <c r="H60" s="48"/>
    </row>
    <row r="61" spans="1:8" ht="12.75" customHeight="1" x14ac:dyDescent="0.25">
      <c r="A61" s="42" t="s">
        <v>448</v>
      </c>
      <c r="B61" s="67" t="s">
        <v>449</v>
      </c>
      <c r="C61" s="67"/>
      <c r="D61" s="84">
        <f>'C6-FinPos'!C7+'C6-FinPos'!C8+'C6-FinPos'!C17-'C6-FinPos'!C30</f>
        <v>518976967</v>
      </c>
      <c r="E61" s="84">
        <f>'C6-FinPos'!D7+'C6-FinPos'!D8+'C6-FinPos'!D17-'C6-FinPos'!D30</f>
        <v>385405520.86176199</v>
      </c>
      <c r="F61" s="84">
        <f>'C6-FinPos'!E7+'C6-FinPos'!E8+'C6-FinPos'!E17-'C6-FinPos'!E30</f>
        <v>286867366.17229217</v>
      </c>
      <c r="G61" s="97">
        <f>'C6-FinPos'!F7+'C6-FinPos'!F8+'C6-FinPos'!F17-'C6-FinPos'!F30</f>
        <v>374960021.84999979</v>
      </c>
      <c r="H61" s="48">
        <f>'C6-FinPos'!G7+'C6-FinPos'!G8+'C6-FinPos'!G17-'C6-FinPos'!G30</f>
        <v>286867366.17229217</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-1095972.1900000013</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C17" sqref="C17:J20"/>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6" t="str">
        <f>muni&amp; " - "&amp;S71I&amp; " - "&amp;Head57</f>
        <v>KZN225 Msunduzi - Supporting Table SC3 Monthly Budget Statement - aged debtors - M11 May</v>
      </c>
      <c r="B1" s="1056"/>
      <c r="C1" s="1063"/>
      <c r="D1" s="1063"/>
      <c r="E1" s="1063"/>
      <c r="F1" s="1063"/>
      <c r="G1" s="1063"/>
      <c r="H1" s="1063"/>
      <c r="I1" s="1063"/>
      <c r="J1" s="1063"/>
      <c r="K1" s="1063"/>
      <c r="L1" s="1063"/>
      <c r="M1" s="1063"/>
      <c r="N1" s="162"/>
      <c r="O1" s="406"/>
    </row>
    <row r="2" spans="1:16" ht="13.35" customHeight="1" x14ac:dyDescent="0.25">
      <c r="A2" s="355" t="str">
        <f>desc</f>
        <v>Description</v>
      </c>
      <c r="B2" s="894"/>
      <c r="C2" s="1064" t="str">
        <f>Head2</f>
        <v>Budget Year 2020/21</v>
      </c>
      <c r="D2" s="1065"/>
      <c r="E2" s="1065"/>
      <c r="F2" s="1065"/>
      <c r="G2" s="1065"/>
      <c r="H2" s="1065"/>
      <c r="I2" s="1065"/>
      <c r="J2" s="1065"/>
      <c r="K2" s="1065"/>
      <c r="L2" s="1065"/>
      <c r="M2" s="1065"/>
      <c r="N2" s="1066"/>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122587696.55</v>
      </c>
      <c r="D5" s="733">
        <v>38323007.340000004</v>
      </c>
      <c r="E5" s="733">
        <v>36049280.030000001</v>
      </c>
      <c r="F5" s="733">
        <v>39604720.18</v>
      </c>
      <c r="G5" s="733">
        <v>35516632.93</v>
      </c>
      <c r="H5" s="733">
        <v>37485279.619999997</v>
      </c>
      <c r="I5" s="733">
        <v>187411237.91</v>
      </c>
      <c r="J5" s="744">
        <v>1392546108.9100001</v>
      </c>
      <c r="K5" s="134">
        <f>SUM(C5:J5)</f>
        <v>1889523963.47</v>
      </c>
      <c r="L5" s="134">
        <f>SUM(F5:J5)</f>
        <v>1692563979.5500002</v>
      </c>
      <c r="M5" s="747"/>
      <c r="N5" s="747">
        <v>998915113.30999994</v>
      </c>
      <c r="O5" s="912"/>
    </row>
    <row r="6" spans="1:16" ht="12.75" customHeight="1" x14ac:dyDescent="0.25">
      <c r="A6" s="39" t="s">
        <v>1079</v>
      </c>
      <c r="B6" s="169">
        <v>1300</v>
      </c>
      <c r="C6" s="745">
        <v>132581927.18000001</v>
      </c>
      <c r="D6" s="733">
        <v>27698468.109999999</v>
      </c>
      <c r="E6" s="733">
        <v>12393456.939999999</v>
      </c>
      <c r="F6" s="733">
        <v>14084697.25</v>
      </c>
      <c r="G6" s="733">
        <v>12484977.74</v>
      </c>
      <c r="H6" s="733">
        <v>13502348.449999999</v>
      </c>
      <c r="I6" s="733">
        <v>52846960.659999996</v>
      </c>
      <c r="J6" s="744">
        <v>152474642.75999999</v>
      </c>
      <c r="K6" s="134">
        <f>SUM(C6:J6)</f>
        <v>418067479.09000003</v>
      </c>
      <c r="L6" s="134">
        <f t="shared" ref="L6:L12" si="0">SUM(F6:J6)</f>
        <v>245393626.85999998</v>
      </c>
      <c r="M6" s="747"/>
      <c r="N6" s="747">
        <v>90036034.530000001</v>
      </c>
      <c r="O6" s="912"/>
    </row>
    <row r="7" spans="1:16" ht="12.75" customHeight="1" x14ac:dyDescent="0.25">
      <c r="A7" s="39" t="s">
        <v>1078</v>
      </c>
      <c r="B7" s="169">
        <v>1400</v>
      </c>
      <c r="C7" s="745">
        <v>150852252.47</v>
      </c>
      <c r="D7" s="733">
        <v>30761690.370000001</v>
      </c>
      <c r="E7" s="733">
        <v>27012984.210000001</v>
      </c>
      <c r="F7" s="733">
        <v>25170293.170000002</v>
      </c>
      <c r="G7" s="733">
        <v>22943040.140000001</v>
      </c>
      <c r="H7" s="733">
        <v>20423959.379999999</v>
      </c>
      <c r="I7" s="733">
        <v>138770947.84999999</v>
      </c>
      <c r="J7" s="744">
        <v>591741726.20000005</v>
      </c>
      <c r="K7" s="134">
        <f t="shared" ref="K7:K13" si="1">SUM(C7:J7)</f>
        <v>1007676893.7900001</v>
      </c>
      <c r="L7" s="134">
        <f t="shared" si="0"/>
        <v>799049966.74000001</v>
      </c>
      <c r="M7" s="747"/>
      <c r="N7" s="747">
        <v>412070749.01999998</v>
      </c>
      <c r="O7" s="912"/>
    </row>
    <row r="8" spans="1:16" ht="12.75" customHeight="1" x14ac:dyDescent="0.25">
      <c r="A8" s="39" t="s">
        <v>1080</v>
      </c>
      <c r="B8" s="169">
        <v>1500</v>
      </c>
      <c r="C8" s="745">
        <v>24863612.010000002</v>
      </c>
      <c r="D8" s="733">
        <v>6392990.3499999996</v>
      </c>
      <c r="E8" s="733">
        <v>5523944.9199999999</v>
      </c>
      <c r="F8" s="733">
        <v>5789777.3899999997</v>
      </c>
      <c r="G8" s="733">
        <v>5385627.8399999999</v>
      </c>
      <c r="H8" s="733">
        <v>5258224.99</v>
      </c>
      <c r="I8" s="733">
        <v>28107134.98</v>
      </c>
      <c r="J8" s="744">
        <v>246111796.53999999</v>
      </c>
      <c r="K8" s="134">
        <f t="shared" si="1"/>
        <v>327433109.01999998</v>
      </c>
      <c r="L8" s="134">
        <f t="shared" si="0"/>
        <v>290652561.74000001</v>
      </c>
      <c r="M8" s="747"/>
      <c r="N8" s="747">
        <v>189203075.00999999</v>
      </c>
      <c r="O8" s="912"/>
    </row>
    <row r="9" spans="1:16" ht="12.75" customHeight="1" x14ac:dyDescent="0.25">
      <c r="A9" s="39" t="s">
        <v>1081</v>
      </c>
      <c r="B9" s="169">
        <v>1600</v>
      </c>
      <c r="C9" s="745">
        <v>13918206.18</v>
      </c>
      <c r="D9" s="733">
        <v>3362474.46</v>
      </c>
      <c r="E9" s="733">
        <v>3188283.48</v>
      </c>
      <c r="F9" s="733">
        <v>2966531.99</v>
      </c>
      <c r="G9" s="733">
        <v>2854920.21</v>
      </c>
      <c r="H9" s="733">
        <v>2731231.09</v>
      </c>
      <c r="I9" s="733">
        <v>13950060.560000001</v>
      </c>
      <c r="J9" s="744">
        <v>140911651.40000001</v>
      </c>
      <c r="K9" s="134">
        <f t="shared" si="1"/>
        <v>183883359.37</v>
      </c>
      <c r="L9" s="134">
        <f>SUM(F9:J9)</f>
        <v>163414395.25</v>
      </c>
      <c r="M9" s="747"/>
      <c r="N9" s="747">
        <v>105730359.75</v>
      </c>
      <c r="O9" s="912"/>
    </row>
    <row r="10" spans="1:16" ht="12.75" customHeight="1" x14ac:dyDescent="0.25">
      <c r="A10" s="39" t="s">
        <v>1082</v>
      </c>
      <c r="B10" s="169">
        <v>1700</v>
      </c>
      <c r="C10" s="745">
        <v>2535303.66</v>
      </c>
      <c r="D10" s="733">
        <v>1225944.3799999999</v>
      </c>
      <c r="E10" s="733">
        <v>966666.36</v>
      </c>
      <c r="F10" s="733">
        <v>666607.39</v>
      </c>
      <c r="G10" s="733">
        <v>780275.72</v>
      </c>
      <c r="H10" s="733">
        <v>718811.16</v>
      </c>
      <c r="I10" s="733">
        <v>4775907.9400000004</v>
      </c>
      <c r="J10" s="744">
        <v>44750201.990000002</v>
      </c>
      <c r="K10" s="134">
        <f t="shared" si="1"/>
        <v>56419718.600000001</v>
      </c>
      <c r="L10" s="134">
        <f>SUM(F10:J10)</f>
        <v>51691804.200000003</v>
      </c>
      <c r="M10" s="747"/>
      <c r="N10" s="747">
        <v>32944687.719999999</v>
      </c>
      <c r="O10" s="912"/>
    </row>
    <row r="11" spans="1:16" ht="12.75" customHeight="1" x14ac:dyDescent="0.25">
      <c r="A11" s="39" t="s">
        <v>1083</v>
      </c>
      <c r="B11" s="169">
        <v>1810</v>
      </c>
      <c r="C11" s="745">
        <v>33595966.469999999</v>
      </c>
      <c r="D11" s="733">
        <v>16321182.83</v>
      </c>
      <c r="E11" s="733">
        <v>17501723.030000001</v>
      </c>
      <c r="F11" s="733">
        <v>17428030.57</v>
      </c>
      <c r="G11" s="733">
        <v>16468177.6</v>
      </c>
      <c r="H11" s="733">
        <v>16511983.84</v>
      </c>
      <c r="I11" s="733">
        <v>121437874.68000001</v>
      </c>
      <c r="J11" s="744">
        <v>561411559.52999997</v>
      </c>
      <c r="K11" s="134">
        <f t="shared" si="1"/>
        <v>800676498.54999995</v>
      </c>
      <c r="L11" s="134">
        <f t="shared" si="0"/>
        <v>733257626.22000003</v>
      </c>
      <c r="M11" s="747"/>
      <c r="N11" s="747">
        <v>262336305.49000001</v>
      </c>
      <c r="O11" s="912"/>
      <c r="P11" s="96"/>
    </row>
    <row r="12" spans="1:16" ht="12.75" customHeight="1" x14ac:dyDescent="0.25">
      <c r="A12" s="39" t="s">
        <v>1084</v>
      </c>
      <c r="B12" s="169">
        <v>1820</v>
      </c>
      <c r="C12" s="745"/>
      <c r="D12" s="733"/>
      <c r="E12" s="733"/>
      <c r="F12" s="733"/>
      <c r="G12" s="733"/>
      <c r="H12" s="733"/>
      <c r="I12" s="733"/>
      <c r="J12" s="744"/>
      <c r="K12" s="134">
        <f t="shared" si="1"/>
        <v>0</v>
      </c>
      <c r="L12" s="134">
        <f t="shared" si="0"/>
        <v>0</v>
      </c>
      <c r="M12" s="747"/>
      <c r="N12" s="747"/>
      <c r="O12" s="912"/>
      <c r="P12" s="96"/>
    </row>
    <row r="13" spans="1:16" ht="12.75" customHeight="1" x14ac:dyDescent="0.25">
      <c r="A13" s="39" t="s">
        <v>718</v>
      </c>
      <c r="B13" s="169">
        <v>1900</v>
      </c>
      <c r="C13" s="745">
        <v>9648246.6899999995</v>
      </c>
      <c r="D13" s="733">
        <v>171400.61</v>
      </c>
      <c r="E13" s="733">
        <v>924060.76</v>
      </c>
      <c r="F13" s="733">
        <v>8473.43</v>
      </c>
      <c r="G13" s="733">
        <v>11195.57</v>
      </c>
      <c r="H13" s="733">
        <v>39404.93</v>
      </c>
      <c r="I13" s="733">
        <v>1492324.27</v>
      </c>
      <c r="J13" s="744">
        <v>306173837.66000003</v>
      </c>
      <c r="K13" s="134">
        <f t="shared" si="1"/>
        <v>318468943.92000002</v>
      </c>
      <c r="L13" s="134">
        <f>SUM(F13:J13)</f>
        <v>307725235.86000001</v>
      </c>
      <c r="M13" s="747"/>
      <c r="N13" s="747">
        <v>314944996.63</v>
      </c>
      <c r="O13" s="912"/>
    </row>
    <row r="14" spans="1:16" ht="12.75" customHeight="1" x14ac:dyDescent="0.25">
      <c r="A14" s="53" t="s">
        <v>1085</v>
      </c>
      <c r="B14" s="284">
        <v>2000</v>
      </c>
      <c r="C14" s="56">
        <f t="shared" ref="C14:N14" si="2">SUM(C5:C13)</f>
        <v>490583211.2100001</v>
      </c>
      <c r="D14" s="55">
        <f t="shared" si="2"/>
        <v>124257158.44999999</v>
      </c>
      <c r="E14" s="55">
        <f t="shared" si="2"/>
        <v>103560399.73000002</v>
      </c>
      <c r="F14" s="55">
        <f t="shared" si="2"/>
        <v>105719131.37</v>
      </c>
      <c r="G14" s="55">
        <f t="shared" si="2"/>
        <v>96444847.749999985</v>
      </c>
      <c r="H14" s="55">
        <f t="shared" si="2"/>
        <v>96671243.459999993</v>
      </c>
      <c r="I14" s="55">
        <f t="shared" si="2"/>
        <v>548792448.8499999</v>
      </c>
      <c r="J14" s="83">
        <f t="shared" si="2"/>
        <v>3436121524.9899998</v>
      </c>
      <c r="K14" s="112">
        <f t="shared" si="2"/>
        <v>5002149965.8099995</v>
      </c>
      <c r="L14" s="112">
        <f>SUM(L5:L13)</f>
        <v>4283749196.4200006</v>
      </c>
      <c r="M14" s="54">
        <f t="shared" si="2"/>
        <v>0</v>
      </c>
      <c r="N14" s="54">
        <f t="shared" si="2"/>
        <v>2406181321.46</v>
      </c>
      <c r="O14" s="913"/>
    </row>
    <row r="15" spans="1:16" ht="12.75" customHeight="1" x14ac:dyDescent="0.25">
      <c r="A15" s="313" t="str">
        <f>Head1&amp;" - totals only"</f>
        <v>2019/20 - totals only</v>
      </c>
      <c r="B15" s="367"/>
      <c r="C15" s="745">
        <v>544796088.12999988</v>
      </c>
      <c r="D15" s="745">
        <v>134082105.61000001</v>
      </c>
      <c r="E15" s="745">
        <v>107816829.06</v>
      </c>
      <c r="F15" s="745">
        <v>104195684.89</v>
      </c>
      <c r="G15" s="745">
        <v>93072838.600000009</v>
      </c>
      <c r="H15" s="745">
        <v>122498073.30000001</v>
      </c>
      <c r="I15" s="745">
        <v>494026774.62</v>
      </c>
      <c r="J15" s="745">
        <v>2751479564.2600002</v>
      </c>
      <c r="K15" s="795">
        <f>SUM(C15:J15)</f>
        <v>4351967958.4700003</v>
      </c>
      <c r="L15" s="368">
        <f>SUM(F15:J15)</f>
        <v>3565272935.6700001</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24824022.23</v>
      </c>
      <c r="D17" s="733">
        <v>8809019.0500000007</v>
      </c>
      <c r="E17" s="733">
        <v>7566796.9100000001</v>
      </c>
      <c r="F17" s="733">
        <v>5935222.6299999999</v>
      </c>
      <c r="G17" s="733">
        <v>5422748.7000000002</v>
      </c>
      <c r="H17" s="733">
        <v>5300692.47</v>
      </c>
      <c r="I17" s="733">
        <v>32607888.100000001</v>
      </c>
      <c r="J17" s="744">
        <v>135093958.75999999</v>
      </c>
      <c r="K17" s="134">
        <f>SUM(C17:J17)</f>
        <v>225560348.84999999</v>
      </c>
      <c r="L17" s="645">
        <f>SUM(F17:J17)</f>
        <v>184360510.66</v>
      </c>
      <c r="M17" s="747"/>
      <c r="N17" s="748">
        <v>234146848.66999999</v>
      </c>
    </row>
    <row r="18" spans="1:14" ht="12.75" customHeight="1" x14ac:dyDescent="0.25">
      <c r="A18" s="39" t="s">
        <v>1087</v>
      </c>
      <c r="B18" s="169">
        <v>2300</v>
      </c>
      <c r="C18" s="745">
        <v>225810597.28</v>
      </c>
      <c r="D18" s="733">
        <v>36176600.020000003</v>
      </c>
      <c r="E18" s="733">
        <v>18719582.5</v>
      </c>
      <c r="F18" s="733">
        <v>22639532.66</v>
      </c>
      <c r="G18" s="733">
        <v>17132674.239999998</v>
      </c>
      <c r="H18" s="733">
        <v>17520748.52</v>
      </c>
      <c r="I18" s="733">
        <v>83057078.790000007</v>
      </c>
      <c r="J18" s="744">
        <v>342260955.23000002</v>
      </c>
      <c r="K18" s="134">
        <f>SUM(C18:J18)</f>
        <v>763317769.24000001</v>
      </c>
      <c r="L18" s="645">
        <f>SUM(F18:J18)</f>
        <v>482610989.44000006</v>
      </c>
      <c r="M18" s="747"/>
      <c r="N18" s="748">
        <v>81533684.739999995</v>
      </c>
    </row>
    <row r="19" spans="1:14" ht="12.75" customHeight="1" x14ac:dyDescent="0.25">
      <c r="A19" s="39" t="s">
        <v>685</v>
      </c>
      <c r="B19" s="169">
        <v>2400</v>
      </c>
      <c r="C19" s="745">
        <v>236748345.69999999</v>
      </c>
      <c r="D19" s="733">
        <v>75081720.189999998</v>
      </c>
      <c r="E19" s="733">
        <v>73234355.849999994</v>
      </c>
      <c r="F19" s="733">
        <v>76261027.420000002</v>
      </c>
      <c r="G19" s="733">
        <v>69867372.599999994</v>
      </c>
      <c r="H19" s="733">
        <v>69683115.609999999</v>
      </c>
      <c r="I19" s="733">
        <v>406452131.68000001</v>
      </c>
      <c r="J19" s="744">
        <v>2759860989.2199998</v>
      </c>
      <c r="K19" s="134">
        <f>SUM(C19:J19)</f>
        <v>3767189058.2699995</v>
      </c>
      <c r="L19" s="645">
        <f>SUM(F19:J19)</f>
        <v>3382124636.5299997</v>
      </c>
      <c r="M19" s="747"/>
      <c r="N19" s="748">
        <v>1939643496.0599999</v>
      </c>
    </row>
    <row r="20" spans="1:14" ht="12.75" customHeight="1" x14ac:dyDescent="0.25">
      <c r="A20" s="39" t="s">
        <v>718</v>
      </c>
      <c r="B20" s="169">
        <v>2500</v>
      </c>
      <c r="C20" s="745">
        <v>3200246</v>
      </c>
      <c r="D20" s="733">
        <v>4189819.19</v>
      </c>
      <c r="E20" s="733">
        <v>4039664.47</v>
      </c>
      <c r="F20" s="733">
        <v>883348.66</v>
      </c>
      <c r="G20" s="733">
        <v>4022052.21</v>
      </c>
      <c r="H20" s="733">
        <v>4166686.86</v>
      </c>
      <c r="I20" s="733">
        <v>26675350.280000001</v>
      </c>
      <c r="J20" s="744">
        <v>198905621.78</v>
      </c>
      <c r="K20" s="134">
        <f>SUM(C20:J20)</f>
        <v>246082789.44999999</v>
      </c>
      <c r="L20" s="645">
        <f>SUM(F20:J20)</f>
        <v>234653059.79000002</v>
      </c>
      <c r="M20" s="747"/>
      <c r="N20" s="749">
        <v>150857291.99000001</v>
      </c>
    </row>
    <row r="21" spans="1:14" ht="12.75" customHeight="1" x14ac:dyDescent="0.25">
      <c r="A21" s="53" t="s">
        <v>1090</v>
      </c>
      <c r="B21" s="284">
        <v>2600</v>
      </c>
      <c r="C21" s="56">
        <f t="shared" ref="C21:I21" si="3">SUM(C17:C20)</f>
        <v>490583211.20999998</v>
      </c>
      <c r="D21" s="55">
        <f t="shared" si="3"/>
        <v>124257158.45</v>
      </c>
      <c r="E21" s="55">
        <f t="shared" si="3"/>
        <v>103560399.72999999</v>
      </c>
      <c r="F21" s="55">
        <f t="shared" si="3"/>
        <v>105719131.37</v>
      </c>
      <c r="G21" s="55">
        <f t="shared" si="3"/>
        <v>96444847.749999985</v>
      </c>
      <c r="H21" s="55">
        <f t="shared" si="3"/>
        <v>96671243.459999993</v>
      </c>
      <c r="I21" s="55">
        <f t="shared" si="3"/>
        <v>548792448.85000002</v>
      </c>
      <c r="J21" s="83">
        <f>SUM(J17:J20)</f>
        <v>3436121524.9900002</v>
      </c>
      <c r="K21" s="112">
        <f>SUM(K17:K20)</f>
        <v>5002149965.8099995</v>
      </c>
      <c r="L21" s="914">
        <f>SUM(L17:L20)</f>
        <v>4283749196.4199996</v>
      </c>
      <c r="M21" s="54">
        <f>SUM(M17:M20)</f>
        <v>0</v>
      </c>
      <c r="N21" s="244">
        <f>SUM(N17:N20)</f>
        <v>2406181321.46</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O30" sqref="O30"/>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11</v>
      </c>
    </row>
    <row r="11" spans="4:25" x14ac:dyDescent="0.2">
      <c r="W11" s="646" t="s">
        <v>866</v>
      </c>
      <c r="X11" s="701" t="str">
        <f>VLOOKUP(X10,W39:X55,2)</f>
        <v>M11 May</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14</v>
      </c>
    </row>
    <row r="36" spans="22:25" x14ac:dyDescent="0.2">
      <c r="X36" s="684">
        <f>INDEX(X19:X33,X35,1)</f>
        <v>2021</v>
      </c>
    </row>
    <row r="37" spans="22:25" x14ac:dyDescent="0.2">
      <c r="W37" s="646" t="s">
        <v>151</v>
      </c>
      <c r="X37" s="682"/>
    </row>
    <row r="38" spans="22:25" x14ac:dyDescent="0.2">
      <c r="X38" s="681" t="str">
        <f>MTREF&amp;"/"&amp;RIGHT(MTREF,2)+1</f>
        <v>2021/22</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L6" sqref="L6:L14"/>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6" t="str">
        <f>muni&amp; " - "&amp;S71J&amp; " - "&amp;Head57</f>
        <v>KZN225 Msunduzi - Supporting Table SC4 Monthly Budget Statement - aged creditors  - M11 May</v>
      </c>
      <c r="B1" s="1056"/>
      <c r="C1" s="1056"/>
      <c r="D1" s="1056"/>
      <c r="E1" s="1056"/>
      <c r="F1" s="1056"/>
      <c r="G1" s="1056"/>
      <c r="H1" s="1056"/>
      <c r="I1" s="1056"/>
      <c r="J1" s="1056"/>
      <c r="K1" s="1056"/>
    </row>
    <row r="2" spans="1:12" ht="12.75" customHeight="1" x14ac:dyDescent="0.25">
      <c r="A2" s="1045" t="str">
        <f>desc</f>
        <v>Description</v>
      </c>
      <c r="B2" s="1077" t="s">
        <v>734</v>
      </c>
      <c r="C2" s="137" t="str">
        <f>Head2</f>
        <v>Budget Year 2020/21</v>
      </c>
      <c r="D2" s="137"/>
      <c r="E2" s="137"/>
      <c r="F2" s="137"/>
      <c r="G2" s="137"/>
      <c r="H2" s="137"/>
      <c r="I2" s="137"/>
      <c r="J2" s="137"/>
      <c r="K2" s="138"/>
      <c r="L2" s="1067" t="s">
        <v>74</v>
      </c>
    </row>
    <row r="3" spans="1:12" ht="12.75" customHeight="1" x14ac:dyDescent="0.25">
      <c r="A3" s="1076"/>
      <c r="B3" s="1078"/>
      <c r="C3" s="1079" t="s">
        <v>726</v>
      </c>
      <c r="D3" s="1070" t="s">
        <v>727</v>
      </c>
      <c r="E3" s="1070" t="s">
        <v>728</v>
      </c>
      <c r="F3" s="1070" t="s">
        <v>729</v>
      </c>
      <c r="G3" s="1070" t="s">
        <v>730</v>
      </c>
      <c r="H3" s="1070" t="s">
        <v>731</v>
      </c>
      <c r="I3" s="1070" t="s">
        <v>732</v>
      </c>
      <c r="J3" s="1072" t="s">
        <v>733</v>
      </c>
      <c r="K3" s="1074" t="s">
        <v>506</v>
      </c>
      <c r="L3" s="1068"/>
    </row>
    <row r="4" spans="1:12" ht="12.75" customHeight="1" x14ac:dyDescent="0.25">
      <c r="A4" s="34" t="s">
        <v>667</v>
      </c>
      <c r="B4" s="1075"/>
      <c r="C4" s="1080"/>
      <c r="D4" s="1071"/>
      <c r="E4" s="1071"/>
      <c r="F4" s="1071"/>
      <c r="G4" s="1071"/>
      <c r="H4" s="1071"/>
      <c r="I4" s="1071"/>
      <c r="J4" s="1073"/>
      <c r="K4" s="1075"/>
      <c r="L4" s="1069"/>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146491716.78999999</v>
      </c>
      <c r="D6" s="733">
        <v>2821.02</v>
      </c>
      <c r="E6" s="733">
        <v>22134.13</v>
      </c>
      <c r="F6" s="733"/>
      <c r="G6" s="733"/>
      <c r="H6" s="733"/>
      <c r="I6" s="733"/>
      <c r="J6" s="735"/>
      <c r="K6" s="109">
        <f>SUM(C6:J6)</f>
        <v>146516671.94</v>
      </c>
      <c r="L6" s="748">
        <v>164560536.94999999</v>
      </c>
    </row>
    <row r="7" spans="1:12" ht="12.75" customHeight="1" x14ac:dyDescent="0.25">
      <c r="A7" s="39" t="s">
        <v>688</v>
      </c>
      <c r="B7" s="169" t="s">
        <v>689</v>
      </c>
      <c r="C7" s="753">
        <v>187467973.06</v>
      </c>
      <c r="D7" s="733">
        <v>85550263.359999999</v>
      </c>
      <c r="E7" s="733"/>
      <c r="F7" s="733"/>
      <c r="G7" s="733"/>
      <c r="H7" s="733"/>
      <c r="I7" s="733"/>
      <c r="J7" s="735"/>
      <c r="K7" s="109">
        <f t="shared" ref="K7:K13" si="0">SUM(C7:J7)</f>
        <v>273018236.42000002</v>
      </c>
      <c r="L7" s="748">
        <v>123702041.89</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224044485.74000001</v>
      </c>
      <c r="D9" s="733"/>
      <c r="E9" s="733"/>
      <c r="F9" s="733"/>
      <c r="G9" s="733"/>
      <c r="H9" s="733"/>
      <c r="I9" s="733"/>
      <c r="J9" s="735"/>
      <c r="K9" s="109">
        <f t="shared" si="0"/>
        <v>224044485.74000001</v>
      </c>
      <c r="L9" s="748">
        <v>212743550.15000001</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63435551.719999999</v>
      </c>
      <c r="D12" s="733">
        <v>17580782.710000001</v>
      </c>
      <c r="E12" s="733">
        <v>8789804.3100000005</v>
      </c>
      <c r="F12" s="733">
        <v>49470.36</v>
      </c>
      <c r="G12" s="733">
        <v>147029.21</v>
      </c>
      <c r="H12" s="733"/>
      <c r="I12" s="733"/>
      <c r="J12" s="735"/>
      <c r="K12" s="109">
        <f t="shared" si="0"/>
        <v>90002638.310000002</v>
      </c>
      <c r="L12" s="748">
        <v>80150338.99000001</v>
      </c>
    </row>
    <row r="13" spans="1:12" ht="12.75" customHeight="1" x14ac:dyDescent="0.25">
      <c r="A13" s="39" t="s">
        <v>599</v>
      </c>
      <c r="B13" s="169" t="s">
        <v>600</v>
      </c>
      <c r="C13" s="753"/>
      <c r="D13" s="733"/>
      <c r="E13" s="733"/>
      <c r="F13" s="733"/>
      <c r="G13" s="733"/>
      <c r="H13" s="733"/>
      <c r="I13" s="733"/>
      <c r="J13" s="735"/>
      <c r="K13" s="109">
        <f t="shared" si="0"/>
        <v>0</v>
      </c>
      <c r="L13" s="748">
        <v>0</v>
      </c>
    </row>
    <row r="14" spans="1:12" ht="12.75" customHeight="1" x14ac:dyDescent="0.25">
      <c r="A14" s="39" t="s">
        <v>718</v>
      </c>
      <c r="B14" s="169" t="s">
        <v>601</v>
      </c>
      <c r="C14" s="753">
        <v>254746268.64000002</v>
      </c>
      <c r="D14" s="733"/>
      <c r="E14" s="733"/>
      <c r="F14" s="733"/>
      <c r="G14" s="733"/>
      <c r="H14" s="733"/>
      <c r="I14" s="733"/>
      <c r="J14" s="735"/>
      <c r="K14" s="109">
        <f>SUM(C14:J14)</f>
        <v>254746268.64000002</v>
      </c>
      <c r="L14" s="748">
        <v>228302380.55000001</v>
      </c>
    </row>
    <row r="15" spans="1:12" ht="12.75" customHeight="1" x14ac:dyDescent="0.25">
      <c r="A15" s="53" t="s">
        <v>919</v>
      </c>
      <c r="B15" s="284">
        <v>1000</v>
      </c>
      <c r="C15" s="271">
        <f>SUM(C6:C14)</f>
        <v>876185995.95000005</v>
      </c>
      <c r="D15" s="55">
        <f t="shared" ref="D15:J15" si="1">SUM(D6:D14)</f>
        <v>103133867.09</v>
      </c>
      <c r="E15" s="55">
        <f t="shared" si="1"/>
        <v>8811938.4400000013</v>
      </c>
      <c r="F15" s="55">
        <f t="shared" si="1"/>
        <v>49470.36</v>
      </c>
      <c r="G15" s="55">
        <f t="shared" si="1"/>
        <v>147029.21</v>
      </c>
      <c r="H15" s="55">
        <f t="shared" si="1"/>
        <v>0</v>
      </c>
      <c r="I15" s="55">
        <f t="shared" si="1"/>
        <v>0</v>
      </c>
      <c r="J15" s="235">
        <f t="shared" si="1"/>
        <v>0</v>
      </c>
      <c r="K15" s="112">
        <f>SUM(K6:K14)</f>
        <v>988328301.05000007</v>
      </c>
      <c r="L15" s="160">
        <f>SUM(L6:L14)</f>
        <v>809458848.52999997</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G4" activePane="bottomRight" state="frozen"/>
      <selection pane="topRight"/>
      <selection pane="bottomLeft"/>
      <selection pane="bottomRight" activeCell="M15" sqref="M15"/>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6" t="str">
        <f>muni&amp; " - "&amp;S71K&amp; " - "&amp;Head57</f>
        <v>KZN225 Msunduzi - Supporting Table SC5 Monthly Budget Statement - investment portfolio  - M11 May</v>
      </c>
      <c r="B1" s="1056"/>
      <c r="C1" s="1056"/>
      <c r="D1" s="1056"/>
      <c r="E1" s="1056"/>
      <c r="F1" s="1056"/>
      <c r="G1" s="1056"/>
      <c r="H1" s="1056"/>
      <c r="I1" s="1056"/>
      <c r="J1" s="1056"/>
      <c r="K1" s="67"/>
    </row>
    <row r="2" spans="1:15" ht="54" customHeight="1" x14ac:dyDescent="0.25">
      <c r="A2" s="270" t="s">
        <v>894</v>
      </c>
      <c r="B2" s="1077" t="s">
        <v>571</v>
      </c>
      <c r="C2" s="26" t="s">
        <v>126</v>
      </c>
      <c r="D2" s="1083" t="s">
        <v>607</v>
      </c>
      <c r="E2" s="948" t="s">
        <v>1356</v>
      </c>
      <c r="F2" s="948" t="s">
        <v>1357</v>
      </c>
      <c r="G2" s="948" t="s">
        <v>1358</v>
      </c>
      <c r="H2" s="948" t="s">
        <v>1359</v>
      </c>
      <c r="I2" s="948" t="s">
        <v>1360</v>
      </c>
      <c r="J2" s="1085" t="s">
        <v>608</v>
      </c>
      <c r="K2" s="149" t="s">
        <v>1361</v>
      </c>
      <c r="L2" s="142" t="s">
        <v>1362</v>
      </c>
      <c r="M2" s="26" t="s">
        <v>1363</v>
      </c>
      <c r="N2" s="26" t="s">
        <v>1364</v>
      </c>
      <c r="O2" s="142" t="s">
        <v>1365</v>
      </c>
    </row>
    <row r="3" spans="1:15" ht="12.75" customHeight="1" x14ac:dyDescent="0.25">
      <c r="A3" s="34" t="s">
        <v>667</v>
      </c>
      <c r="B3" s="1075"/>
      <c r="C3" s="413" t="s">
        <v>127</v>
      </c>
      <c r="D3" s="1084"/>
      <c r="E3" s="949"/>
      <c r="F3" s="949"/>
      <c r="G3" s="949"/>
      <c r="H3" s="949"/>
      <c r="I3" s="949"/>
      <c r="J3" s="1073"/>
      <c r="K3" s="1081"/>
      <c r="L3" s="1081"/>
      <c r="M3" s="1081"/>
      <c r="N3" s="1081"/>
      <c r="O3" s="1082"/>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471735623.38999999</v>
      </c>
      <c r="L5" s="954">
        <v>186699.25999999998</v>
      </c>
      <c r="M5" s="955">
        <v>-230959044.40000004</v>
      </c>
      <c r="N5" s="955">
        <v>112904740.28</v>
      </c>
      <c r="O5" s="956">
        <f t="shared" ref="O5:O11" si="0">SUM(K5:N5)</f>
        <v>353868018.52999997</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471735623.38999999</v>
      </c>
      <c r="L12" s="960"/>
      <c r="M12" s="961">
        <f>SUM(M5:M11)</f>
        <v>-230959044.40000004</v>
      </c>
      <c r="N12" s="961">
        <f>SUM(N5:N11)</f>
        <v>112904740.28</v>
      </c>
      <c r="O12" s="962">
        <f>SUM(O5:O11)</f>
        <v>353868018.52999997</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t="s">
        <v>1447</v>
      </c>
      <c r="B15" s="169"/>
      <c r="C15" s="950"/>
      <c r="D15" s="951"/>
      <c r="E15" s="951"/>
      <c r="F15" s="951"/>
      <c r="G15" s="951"/>
      <c r="H15" s="951"/>
      <c r="I15" s="951"/>
      <c r="J15" s="952"/>
      <c r="K15" s="953">
        <v>4207048.12</v>
      </c>
      <c r="L15" s="954">
        <v>6073</v>
      </c>
      <c r="M15" s="955">
        <v>-1515500.5</v>
      </c>
      <c r="N15" s="955"/>
      <c r="O15" s="956">
        <f t="shared" ref="O15:O21" si="1">SUM(K15:N15)</f>
        <v>2697620.62</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4207048.12</v>
      </c>
      <c r="L22" s="960"/>
      <c r="M22" s="961">
        <f>SUM(M15:M21)</f>
        <v>-1515500.5</v>
      </c>
      <c r="N22" s="961">
        <f>SUM(N15:N21)</f>
        <v>0</v>
      </c>
      <c r="O22" s="962">
        <f>SUM(O15:O21)</f>
        <v>2697620.62</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475942671.50999999</v>
      </c>
      <c r="L24" s="978"/>
      <c r="M24" s="979">
        <f>M12+M22</f>
        <v>-232474544.90000004</v>
      </c>
      <c r="N24" s="979">
        <f>N12+N22</f>
        <v>112904740.28</v>
      </c>
      <c r="O24" s="980">
        <f>O12+O22</f>
        <v>356565639.14999998</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35" activePane="bottomRight" state="frozen"/>
      <selection pane="topRight"/>
      <selection pane="bottomLeft"/>
      <selection pane="bottomRight" activeCell="C56" sqref="C56"/>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"&amp;S71L&amp; " - "&amp;Head57</f>
        <v>KZN225 Msunduzi - Supporting Table SC6 Monthly Budget Statement - transfers and grant receipts  - M11 May</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588690909</v>
      </c>
      <c r="D8" s="51">
        <f t="shared" si="0"/>
        <v>608608575</v>
      </c>
      <c r="E8" s="50">
        <f t="shared" si="0"/>
        <v>697606575</v>
      </c>
      <c r="F8" s="50">
        <f t="shared" si="0"/>
        <v>0</v>
      </c>
      <c r="G8" s="50">
        <f t="shared" si="0"/>
        <v>698862779.19000006</v>
      </c>
      <c r="H8" s="50">
        <f t="shared" si="0"/>
        <v>639472693.75</v>
      </c>
      <c r="I8" s="50">
        <f t="shared" si="0"/>
        <v>59390085.440000072</v>
      </c>
      <c r="J8" s="343">
        <f>IF(I8=0,"",I8/H8)</f>
        <v>9.2873528487548609E-2</v>
      </c>
      <c r="K8" s="194">
        <f>SUM(K9:K16)</f>
        <v>697606575</v>
      </c>
    </row>
    <row r="9" spans="1:11" ht="12.75" customHeight="1" x14ac:dyDescent="0.25">
      <c r="A9" s="733" t="s">
        <v>986</v>
      </c>
      <c r="B9" s="169"/>
      <c r="C9" s="779">
        <v>546052000</v>
      </c>
      <c r="D9" s="780">
        <v>593405000</v>
      </c>
      <c r="E9" s="734">
        <v>682403000</v>
      </c>
      <c r="F9" s="734"/>
      <c r="G9" s="734">
        <v>682403000</v>
      </c>
      <c r="H9" s="733">
        <f>E9/12*11</f>
        <v>625536083.33333325</v>
      </c>
      <c r="I9" s="514">
        <f>G9-H9</f>
        <v>56866916.666666746</v>
      </c>
      <c r="J9" s="552">
        <f>IF(I9=0,"",I9/H9)</f>
        <v>9.090909090909105E-2</v>
      </c>
      <c r="K9" s="736">
        <f>E9</f>
        <v>682403000</v>
      </c>
    </row>
    <row r="10" spans="1:11" ht="12.75" customHeight="1" x14ac:dyDescent="0.25">
      <c r="A10" s="733" t="s">
        <v>988</v>
      </c>
      <c r="B10" s="169"/>
      <c r="C10" s="748">
        <v>1700000</v>
      </c>
      <c r="D10" s="745">
        <v>1700000</v>
      </c>
      <c r="E10" s="733">
        <v>1700000</v>
      </c>
      <c r="F10" s="733"/>
      <c r="G10" s="733">
        <v>1700000</v>
      </c>
      <c r="H10" s="733">
        <f>E10/12*11</f>
        <v>1558333.3333333333</v>
      </c>
      <c r="I10" s="514">
        <f t="shared" ref="I10:I15" si="1">G10-H10</f>
        <v>141666.66666666674</v>
      </c>
      <c r="J10" s="552">
        <f t="shared" ref="J10:J15" si="2">IF(I10=0,"",I10/H10)</f>
        <v>9.0909090909090967E-2</v>
      </c>
      <c r="K10" s="735">
        <f>E10</f>
        <v>1700000</v>
      </c>
    </row>
    <row r="11" spans="1:11" ht="12.75" customHeight="1" x14ac:dyDescent="0.25">
      <c r="A11" s="733" t="s">
        <v>566</v>
      </c>
      <c r="B11" s="169"/>
      <c r="C11" s="748"/>
      <c r="D11" s="745"/>
      <c r="E11" s="733">
        <v>0</v>
      </c>
      <c r="F11" s="733"/>
      <c r="G11" s="733"/>
      <c r="H11" s="733"/>
      <c r="I11" s="514">
        <f t="shared" si="1"/>
        <v>0</v>
      </c>
      <c r="J11" s="552" t="str">
        <f t="shared" si="2"/>
        <v/>
      </c>
      <c r="K11" s="735"/>
    </row>
    <row r="12" spans="1:11" ht="12.75" customHeight="1" x14ac:dyDescent="0.25">
      <c r="A12" s="733" t="s">
        <v>995</v>
      </c>
      <c r="B12" s="169"/>
      <c r="C12" s="748">
        <v>4200000</v>
      </c>
      <c r="D12" s="745">
        <v>4388000</v>
      </c>
      <c r="E12" s="733">
        <v>4388000</v>
      </c>
      <c r="F12" s="733"/>
      <c r="G12" s="733">
        <v>4388000</v>
      </c>
      <c r="H12" s="733">
        <f>E12/12*11</f>
        <v>4022333.3333333335</v>
      </c>
      <c r="I12" s="514">
        <f t="shared" si="1"/>
        <v>365666.66666666651</v>
      </c>
      <c r="J12" s="552">
        <f t="shared" si="2"/>
        <v>9.090909090909087E-2</v>
      </c>
      <c r="K12" s="735">
        <f>E12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v>14834432</v>
      </c>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v>21904477</v>
      </c>
      <c r="D16" s="745">
        <v>9115575</v>
      </c>
      <c r="E16" s="733">
        <v>9115575</v>
      </c>
      <c r="F16" s="733"/>
      <c r="G16" s="733">
        <v>10371779.190000001</v>
      </c>
      <c r="H16" s="733">
        <f>E16/12*11</f>
        <v>8355943.75</v>
      </c>
      <c r="I16" s="44">
        <f>G16-H16</f>
        <v>2015835.4400000013</v>
      </c>
      <c r="J16" s="124">
        <f>IF(I16=0,"",I16/H16)</f>
        <v>0.24124569292367501</v>
      </c>
      <c r="K16" s="735">
        <f>E16</f>
        <v>9115575</v>
      </c>
    </row>
    <row r="17" spans="1:11" ht="12.75" customHeight="1" x14ac:dyDescent="0.25">
      <c r="A17" s="106" t="s">
        <v>623</v>
      </c>
      <c r="B17" s="169"/>
      <c r="C17" s="516">
        <f t="shared" ref="C17:I17" si="3">SUM(C18:C28)</f>
        <v>48437135</v>
      </c>
      <c r="D17" s="475">
        <f t="shared" si="3"/>
        <v>66874665</v>
      </c>
      <c r="E17" s="430">
        <f t="shared" si="3"/>
        <v>41304907</v>
      </c>
      <c r="F17" s="430">
        <f t="shared" si="3"/>
        <v>0</v>
      </c>
      <c r="G17" s="430">
        <f t="shared" si="3"/>
        <v>29189264</v>
      </c>
      <c r="H17" s="430">
        <f t="shared" si="3"/>
        <v>37862831.416666672</v>
      </c>
      <c r="I17" s="430">
        <f t="shared" si="3"/>
        <v>-8673567.4166666679</v>
      </c>
      <c r="J17" s="553">
        <f>IF(I17=0,"",I17/H17)</f>
        <v>-0.22907867933111545</v>
      </c>
      <c r="K17" s="513">
        <f>SUM(K18:K28)</f>
        <v>41304907</v>
      </c>
    </row>
    <row r="18" spans="1:11" ht="12.75" customHeight="1" x14ac:dyDescent="0.25">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5">
      <c r="A19" s="1002" t="s">
        <v>1452</v>
      </c>
      <c r="B19" s="169"/>
      <c r="C19" s="748"/>
      <c r="D19" s="745"/>
      <c r="E19" s="733"/>
      <c r="F19" s="733"/>
      <c r="G19" s="733"/>
      <c r="H19" s="733"/>
      <c r="I19" s="44">
        <f t="shared" si="4"/>
        <v>0</v>
      </c>
      <c r="J19" s="124" t="str">
        <f t="shared" si="5"/>
        <v/>
      </c>
      <c r="K19" s="735"/>
    </row>
    <row r="20" spans="1:11" ht="12.75" customHeight="1" x14ac:dyDescent="0.25">
      <c r="A20" s="1002" t="s">
        <v>771</v>
      </c>
      <c r="B20" s="169"/>
      <c r="C20" s="748"/>
      <c r="D20" s="745"/>
      <c r="E20" s="733"/>
      <c r="F20" s="733"/>
      <c r="G20" s="733"/>
      <c r="H20" s="733"/>
      <c r="I20" s="44">
        <f t="shared" si="4"/>
        <v>0</v>
      </c>
      <c r="J20" s="124" t="str">
        <f t="shared" si="5"/>
        <v/>
      </c>
      <c r="K20" s="735"/>
    </row>
    <row r="21" spans="1:11" ht="12.75" customHeight="1" x14ac:dyDescent="0.25">
      <c r="A21" s="1002" t="s">
        <v>1434</v>
      </c>
      <c r="B21" s="169"/>
      <c r="C21" s="748"/>
      <c r="D21" s="745">
        <v>3603000</v>
      </c>
      <c r="E21" s="733"/>
      <c r="F21" s="733"/>
      <c r="G21" s="733"/>
      <c r="H21" s="733"/>
      <c r="I21" s="44">
        <f t="shared" si="4"/>
        <v>0</v>
      </c>
      <c r="J21" s="124" t="str">
        <f t="shared" si="5"/>
        <v/>
      </c>
      <c r="K21" s="735"/>
    </row>
    <row r="22" spans="1:11" ht="12.75" customHeight="1" x14ac:dyDescent="0.25">
      <c r="A22" s="1002" t="s">
        <v>1435</v>
      </c>
      <c r="B22" s="169"/>
      <c r="C22" s="748"/>
      <c r="D22" s="745">
        <v>4264000</v>
      </c>
      <c r="E22" s="733">
        <v>4264000</v>
      </c>
      <c r="F22" s="733"/>
      <c r="G22" s="733"/>
      <c r="H22" s="733">
        <f t="shared" ref="H22:H23" si="6">E22/12*11</f>
        <v>3908666.6666666665</v>
      </c>
      <c r="I22" s="44">
        <f t="shared" si="4"/>
        <v>-3908666.6666666665</v>
      </c>
      <c r="J22" s="124">
        <f t="shared" si="5"/>
        <v>-1</v>
      </c>
      <c r="K22" s="735">
        <f t="shared" ref="K22:K23" si="7">E22</f>
        <v>4264000</v>
      </c>
    </row>
    <row r="23" spans="1:11" ht="12.75" customHeight="1" x14ac:dyDescent="0.25">
      <c r="A23" s="1002" t="s">
        <v>1436</v>
      </c>
      <c r="B23" s="169"/>
      <c r="C23" s="748"/>
      <c r="D23" s="745">
        <v>24079242</v>
      </c>
      <c r="E23" s="733">
        <v>24079242</v>
      </c>
      <c r="F23" s="733"/>
      <c r="G23" s="733"/>
      <c r="H23" s="733">
        <f t="shared" si="6"/>
        <v>22072638.5</v>
      </c>
      <c r="I23" s="44">
        <f t="shared" si="4"/>
        <v>-22072638.5</v>
      </c>
      <c r="J23" s="124">
        <f t="shared" si="5"/>
        <v>-1</v>
      </c>
      <c r="K23" s="735">
        <f t="shared" si="7"/>
        <v>24079242</v>
      </c>
    </row>
    <row r="24" spans="1:11" ht="12.75" customHeight="1" x14ac:dyDescent="0.25">
      <c r="A24" s="1002" t="s">
        <v>1437</v>
      </c>
      <c r="B24" s="169"/>
      <c r="C24" s="748">
        <v>14582180</v>
      </c>
      <c r="D24" s="745">
        <v>22740423</v>
      </c>
      <c r="E24" s="733"/>
      <c r="F24" s="733"/>
      <c r="G24" s="733">
        <v>3231264</v>
      </c>
      <c r="H24" s="733"/>
      <c r="I24" s="44">
        <f t="shared" si="4"/>
        <v>3231264</v>
      </c>
      <c r="J24" s="124" t="e">
        <f t="shared" si="5"/>
        <v>#DIV/0!</v>
      </c>
      <c r="K24" s="735"/>
    </row>
    <row r="25" spans="1:11" ht="12.75" customHeight="1" x14ac:dyDescent="0.25">
      <c r="A25" s="1002" t="s">
        <v>1451</v>
      </c>
      <c r="B25" s="169"/>
      <c r="C25" s="748">
        <v>27665322</v>
      </c>
      <c r="D25" s="745"/>
      <c r="E25" s="733"/>
      <c r="F25" s="733"/>
      <c r="G25" s="733"/>
      <c r="H25" s="733"/>
      <c r="I25" s="44">
        <f t="shared" si="4"/>
        <v>0</v>
      </c>
      <c r="J25" s="124" t="str">
        <f t="shared" si="5"/>
        <v/>
      </c>
      <c r="K25" s="735"/>
    </row>
    <row r="26" spans="1:11" ht="12.75" customHeight="1" x14ac:dyDescent="0.25">
      <c r="A26" s="1002" t="s">
        <v>1438</v>
      </c>
      <c r="B26" s="169">
        <v>4</v>
      </c>
      <c r="C26" s="748"/>
      <c r="D26" s="745">
        <v>10200000</v>
      </c>
      <c r="E26" s="733">
        <v>12473665</v>
      </c>
      <c r="F26" s="733"/>
      <c r="G26" s="733">
        <v>10200000</v>
      </c>
      <c r="H26" s="733">
        <f t="shared" ref="H26:H27" si="8">E26/12*11</f>
        <v>11434192.916666668</v>
      </c>
      <c r="I26" s="44">
        <f t="shared" ref="I26:I32" si="9">G26-H26</f>
        <v>-1234192.9166666679</v>
      </c>
      <c r="J26" s="124">
        <f t="shared" ref="J26:J33" si="10">IF(I26=0,"",I26/H26)</f>
        <v>-0.10793878725517111</v>
      </c>
      <c r="K26" s="735">
        <f t="shared" ref="K26:K27" si="11">E26</f>
        <v>12473665</v>
      </c>
    </row>
    <row r="27" spans="1:11" ht="12.75" customHeight="1" x14ac:dyDescent="0.25">
      <c r="A27" s="1002" t="s">
        <v>1439</v>
      </c>
      <c r="B27" s="169"/>
      <c r="C27" s="748">
        <v>242517</v>
      </c>
      <c r="D27" s="745">
        <v>488000</v>
      </c>
      <c r="E27" s="733">
        <v>488000</v>
      </c>
      <c r="F27" s="733"/>
      <c r="G27" s="733"/>
      <c r="H27" s="733">
        <f t="shared" si="8"/>
        <v>447333.33333333331</v>
      </c>
      <c r="I27" s="44">
        <f t="shared" si="9"/>
        <v>-447333.33333333331</v>
      </c>
      <c r="J27" s="124">
        <f t="shared" si="10"/>
        <v>-1</v>
      </c>
      <c r="K27" s="735">
        <f t="shared" si="11"/>
        <v>488000</v>
      </c>
    </row>
    <row r="28" spans="1:11" ht="12.75" customHeight="1" x14ac:dyDescent="0.25">
      <c r="A28" s="1002" t="s">
        <v>1440</v>
      </c>
      <c r="B28" s="169"/>
      <c r="C28" s="748">
        <v>5947116</v>
      </c>
      <c r="D28" s="745">
        <v>1500000</v>
      </c>
      <c r="E28" s="733"/>
      <c r="F28" s="733"/>
      <c r="G28" s="733">
        <v>15758000</v>
      </c>
      <c r="H28" s="733"/>
      <c r="I28" s="44">
        <f t="shared" si="9"/>
        <v>15758000</v>
      </c>
      <c r="J28" s="124" t="e">
        <f t="shared" si="10"/>
        <v>#DIV/0!</v>
      </c>
      <c r="K28" s="735"/>
    </row>
    <row r="29" spans="1:11" ht="12.75" customHeight="1" x14ac:dyDescent="0.25">
      <c r="A29" s="106" t="s">
        <v>519</v>
      </c>
      <c r="B29" s="169"/>
      <c r="C29" s="516">
        <f t="shared" ref="C29:H29" si="12">SUM(C30:C30)</f>
        <v>0</v>
      </c>
      <c r="D29" s="475">
        <f t="shared" si="12"/>
        <v>0</v>
      </c>
      <c r="E29" s="430">
        <f t="shared" si="12"/>
        <v>0</v>
      </c>
      <c r="F29" s="430">
        <f t="shared" si="12"/>
        <v>0</v>
      </c>
      <c r="G29" s="430">
        <f t="shared" si="12"/>
        <v>0</v>
      </c>
      <c r="H29" s="430">
        <f t="shared" si="12"/>
        <v>0</v>
      </c>
      <c r="I29" s="514">
        <f t="shared" si="9"/>
        <v>0</v>
      </c>
      <c r="J29" s="552" t="str">
        <f t="shared" si="10"/>
        <v/>
      </c>
      <c r="K29" s="513">
        <f>SUM(K30:K30)</f>
        <v>0</v>
      </c>
    </row>
    <row r="30" spans="1:11" ht="12.75" customHeight="1" x14ac:dyDescent="0.25">
      <c r="A30" s="781" t="s">
        <v>567</v>
      </c>
      <c r="B30" s="169"/>
      <c r="C30" s="783"/>
      <c r="D30" s="784"/>
      <c r="E30" s="737"/>
      <c r="F30" s="737"/>
      <c r="G30" s="737"/>
      <c r="H30" s="737"/>
      <c r="I30" s="514">
        <f t="shared" si="9"/>
        <v>0</v>
      </c>
      <c r="J30" s="552" t="str">
        <f t="shared" si="10"/>
        <v/>
      </c>
      <c r="K30" s="738"/>
    </row>
    <row r="31" spans="1:11" ht="12.75" customHeight="1" x14ac:dyDescent="0.25">
      <c r="A31" s="106" t="s">
        <v>818</v>
      </c>
      <c r="B31" s="169"/>
      <c r="C31" s="516">
        <f t="shared" ref="C31:H31" si="13">SUM(C32:C32)</f>
        <v>0</v>
      </c>
      <c r="D31" s="475">
        <f t="shared" si="13"/>
        <v>0</v>
      </c>
      <c r="E31" s="430">
        <f t="shared" si="13"/>
        <v>0</v>
      </c>
      <c r="F31" s="430">
        <f t="shared" si="13"/>
        <v>0</v>
      </c>
      <c r="G31" s="430">
        <f t="shared" si="13"/>
        <v>0</v>
      </c>
      <c r="H31" s="430">
        <f t="shared" si="13"/>
        <v>0</v>
      </c>
      <c r="I31" s="514">
        <f t="shared" si="9"/>
        <v>0</v>
      </c>
      <c r="J31" s="552" t="str">
        <f t="shared" si="10"/>
        <v/>
      </c>
      <c r="K31" s="513">
        <f>SUM(K32:K32)</f>
        <v>0</v>
      </c>
    </row>
    <row r="32" spans="1:11" ht="12.75" customHeight="1" x14ac:dyDescent="0.25">
      <c r="A32" s="781" t="s">
        <v>567</v>
      </c>
      <c r="B32" s="169"/>
      <c r="C32" s="783"/>
      <c r="D32" s="784"/>
      <c r="E32" s="737"/>
      <c r="F32" s="737"/>
      <c r="G32" s="737"/>
      <c r="H32" s="737"/>
      <c r="I32" s="514">
        <f t="shared" si="9"/>
        <v>0</v>
      </c>
      <c r="J32" s="552" t="str">
        <f t="shared" si="10"/>
        <v/>
      </c>
      <c r="K32" s="738"/>
    </row>
    <row r="33" spans="1:11" ht="12.75" customHeight="1" x14ac:dyDescent="0.25">
      <c r="A33" s="558" t="s">
        <v>62</v>
      </c>
      <c r="B33" s="233">
        <v>5</v>
      </c>
      <c r="C33" s="243">
        <f t="shared" ref="C33:I33" si="14">C8+C17+C29+C31</f>
        <v>637128044</v>
      </c>
      <c r="D33" s="74">
        <f t="shared" si="14"/>
        <v>675483240</v>
      </c>
      <c r="E33" s="73">
        <f t="shared" si="14"/>
        <v>738911482</v>
      </c>
      <c r="F33" s="73">
        <f t="shared" si="14"/>
        <v>0</v>
      </c>
      <c r="G33" s="73">
        <f t="shared" si="14"/>
        <v>728052043.19000006</v>
      </c>
      <c r="H33" s="73">
        <f t="shared" si="14"/>
        <v>677335525.16666663</v>
      </c>
      <c r="I33" s="73">
        <f t="shared" si="14"/>
        <v>50716518.0233334</v>
      </c>
      <c r="J33" s="304">
        <f t="shared" si="10"/>
        <v>7.4876506751737237E-2</v>
      </c>
      <c r="K33" s="145">
        <f>K8+K17+K29+K31</f>
        <v>738911482</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5">SUM(C37:C44)</f>
        <v>352860137</v>
      </c>
      <c r="D36" s="46">
        <f t="shared" si="15"/>
        <v>255267424.99999985</v>
      </c>
      <c r="E36" s="44">
        <f t="shared" si="15"/>
        <v>337738291</v>
      </c>
      <c r="F36" s="44">
        <f t="shared" si="15"/>
        <v>0</v>
      </c>
      <c r="G36" s="44">
        <f t="shared" si="15"/>
        <v>379905220.81000006</v>
      </c>
      <c r="H36" s="44">
        <f t="shared" si="15"/>
        <v>228231636.41666669</v>
      </c>
      <c r="I36" s="44">
        <f t="shared" si="15"/>
        <v>151673584.39333335</v>
      </c>
      <c r="J36" s="343">
        <f>IF(I36=0,"",I36/H36)</f>
        <v>0.66455986021339031</v>
      </c>
      <c r="K36" s="144">
        <f>SUM(K37:K44)</f>
        <v>337738291</v>
      </c>
    </row>
    <row r="37" spans="1:11" ht="12.75" customHeight="1" x14ac:dyDescent="0.25">
      <c r="A37" s="778" t="s">
        <v>1441</v>
      </c>
      <c r="B37" s="169"/>
      <c r="C37" s="779">
        <v>164899849</v>
      </c>
      <c r="D37" s="780">
        <v>187012424.99999985</v>
      </c>
      <c r="E37" s="734">
        <v>197724967</v>
      </c>
      <c r="F37" s="734"/>
      <c r="G37" s="734">
        <v>183349220.81000003</v>
      </c>
      <c r="H37" s="733">
        <f>E37/12*11</f>
        <v>181247886.41666669</v>
      </c>
      <c r="I37" s="514">
        <f>G37-H37</f>
        <v>2101334.3933333457</v>
      </c>
      <c r="J37" s="552">
        <f>IF(I37=0,"",I37/H37)</f>
        <v>1.1593704262584532E-2</v>
      </c>
      <c r="K37" s="736">
        <f>E37</f>
        <v>197724967</v>
      </c>
    </row>
    <row r="38" spans="1:11" ht="12.75" customHeight="1" x14ac:dyDescent="0.25">
      <c r="A38" s="778" t="s">
        <v>1453</v>
      </c>
      <c r="B38" s="169"/>
      <c r="C38" s="748">
        <v>117251994</v>
      </c>
      <c r="D38" s="745"/>
      <c r="E38" s="733">
        <v>88758324</v>
      </c>
      <c r="F38" s="733"/>
      <c r="G38" s="733">
        <v>134000000</v>
      </c>
      <c r="H38" s="733"/>
      <c r="I38" s="514">
        <f t="shared" ref="I38:I44" si="16">G38-H38</f>
        <v>134000000</v>
      </c>
      <c r="J38" s="552" t="e">
        <f t="shared" ref="J38:J44" si="17">IF(I38=0,"",I38/H38)</f>
        <v>#DIV/0!</v>
      </c>
      <c r="K38" s="735">
        <f>E38</f>
        <v>88758324</v>
      </c>
    </row>
    <row r="39" spans="1:11" ht="12.75" customHeight="1" x14ac:dyDescent="0.25">
      <c r="A39" s="778" t="s">
        <v>1001</v>
      </c>
      <c r="B39" s="169"/>
      <c r="C39" s="748">
        <v>9957109</v>
      </c>
      <c r="D39" s="745">
        <v>35000000</v>
      </c>
      <c r="E39" s="733">
        <v>18000000</v>
      </c>
      <c r="F39" s="733"/>
      <c r="G39" s="733">
        <v>18000000</v>
      </c>
      <c r="H39" s="733">
        <f>E39/12*11</f>
        <v>16500000</v>
      </c>
      <c r="I39" s="514">
        <f t="shared" si="16"/>
        <v>1500000</v>
      </c>
      <c r="J39" s="552">
        <f t="shared" si="17"/>
        <v>9.0909090909090912E-2</v>
      </c>
      <c r="K39" s="735">
        <f>E39</f>
        <v>18000000</v>
      </c>
    </row>
    <row r="40" spans="1:11" ht="12.75" customHeight="1" x14ac:dyDescent="0.25">
      <c r="A40" s="778" t="s">
        <v>1454</v>
      </c>
      <c r="B40" s="169"/>
      <c r="C40" s="748"/>
      <c r="D40" s="745"/>
      <c r="E40" s="733"/>
      <c r="F40" s="733"/>
      <c r="G40" s="733"/>
      <c r="H40" s="733"/>
      <c r="I40" s="514">
        <f t="shared" si="16"/>
        <v>0</v>
      </c>
      <c r="J40" s="552" t="str">
        <f t="shared" si="17"/>
        <v/>
      </c>
      <c r="K40" s="735"/>
    </row>
    <row r="41" spans="1:11" ht="12.75" customHeight="1" x14ac:dyDescent="0.25">
      <c r="A41" s="778" t="s">
        <v>1455</v>
      </c>
      <c r="B41" s="169"/>
      <c r="C41" s="748"/>
      <c r="D41" s="745"/>
      <c r="E41" s="733"/>
      <c r="F41" s="733"/>
      <c r="G41" s="733"/>
      <c r="H41" s="733"/>
      <c r="I41" s="514">
        <f t="shared" si="16"/>
        <v>0</v>
      </c>
      <c r="J41" s="552" t="str">
        <f t="shared" si="17"/>
        <v/>
      </c>
      <c r="K41" s="735"/>
    </row>
    <row r="42" spans="1:11" ht="12.75" customHeight="1" x14ac:dyDescent="0.25">
      <c r="A42" s="778" t="s">
        <v>566</v>
      </c>
      <c r="B42" s="169"/>
      <c r="C42" s="748"/>
      <c r="D42" s="745"/>
      <c r="E42" s="733"/>
      <c r="F42" s="733"/>
      <c r="G42" s="733"/>
      <c r="H42" s="733"/>
      <c r="I42" s="514">
        <f t="shared" si="16"/>
        <v>0</v>
      </c>
      <c r="J42" s="552" t="str">
        <f t="shared" si="17"/>
        <v/>
      </c>
      <c r="K42" s="735"/>
    </row>
    <row r="43" spans="1:11" ht="12.75" customHeight="1" x14ac:dyDescent="0.25">
      <c r="A43" s="778" t="s">
        <v>1442</v>
      </c>
      <c r="B43" s="169"/>
      <c r="C43" s="748">
        <v>52751849</v>
      </c>
      <c r="D43" s="745">
        <v>33255000</v>
      </c>
      <c r="E43" s="733">
        <v>33255000</v>
      </c>
      <c r="F43" s="733"/>
      <c r="G43" s="733">
        <v>44556000</v>
      </c>
      <c r="H43" s="733">
        <f>E43/12*11</f>
        <v>30483750</v>
      </c>
      <c r="I43" s="514">
        <f t="shared" si="16"/>
        <v>14072250</v>
      </c>
      <c r="J43" s="552">
        <f t="shared" si="17"/>
        <v>0.46163119694919424</v>
      </c>
      <c r="K43" s="735">
        <f>E43</f>
        <v>33255000</v>
      </c>
    </row>
    <row r="44" spans="1:11" ht="12.75" customHeight="1" x14ac:dyDescent="0.25">
      <c r="A44" s="778" t="s">
        <v>1456</v>
      </c>
      <c r="B44" s="169"/>
      <c r="C44" s="748">
        <v>7999336</v>
      </c>
      <c r="D44" s="745"/>
      <c r="E44" s="733"/>
      <c r="F44" s="733"/>
      <c r="G44" s="733"/>
      <c r="H44" s="733"/>
      <c r="I44" s="514">
        <f t="shared" si="16"/>
        <v>0</v>
      </c>
      <c r="J44" s="552" t="str">
        <f t="shared" si="17"/>
        <v/>
      </c>
      <c r="K44" s="735"/>
    </row>
    <row r="45" spans="1:11" ht="12.75" customHeight="1" x14ac:dyDescent="0.25">
      <c r="A45" s="342" t="str">
        <f>A17</f>
        <v>Provincial Government:</v>
      </c>
      <c r="B45" s="169"/>
      <c r="C45" s="516">
        <f t="shared" ref="C45:H45" si="18">SUM(C46:C56)</f>
        <v>77253612</v>
      </c>
      <c r="D45" s="475">
        <f t="shared" si="18"/>
        <v>270624156</v>
      </c>
      <c r="E45" s="430">
        <f t="shared" si="18"/>
        <v>316942789</v>
      </c>
      <c r="F45" s="430">
        <f t="shared" si="18"/>
        <v>807252.95</v>
      </c>
      <c r="G45" s="430">
        <f t="shared" si="18"/>
        <v>143376336.03</v>
      </c>
      <c r="H45" s="430">
        <f t="shared" si="18"/>
        <v>290530889.91666663</v>
      </c>
      <c r="I45" s="514">
        <f t="shared" ref="I45:I60" si="19">G45-H45</f>
        <v>-147154553.88666663</v>
      </c>
      <c r="J45" s="552">
        <f>IF(I45=0,"",I45/H45)</f>
        <v>-0.50650226531462861</v>
      </c>
      <c r="K45" s="513">
        <f>SUM(K46:K56)</f>
        <v>316942789</v>
      </c>
    </row>
    <row r="46" spans="1:11" ht="12.75" customHeight="1" x14ac:dyDescent="0.25">
      <c r="A46" s="781" t="s">
        <v>1457</v>
      </c>
      <c r="B46" s="169"/>
      <c r="C46" s="783"/>
      <c r="D46" s="784"/>
      <c r="E46" s="737"/>
      <c r="F46" s="733"/>
      <c r="G46" s="733"/>
      <c r="H46" s="737"/>
      <c r="I46" s="514">
        <f t="shared" si="19"/>
        <v>0</v>
      </c>
      <c r="J46" s="552" t="str">
        <f t="shared" ref="J46:J55" si="20">IF(I46=0,"",I46/H46)</f>
        <v/>
      </c>
      <c r="K46" s="738"/>
    </row>
    <row r="47" spans="1:11" ht="12.75" customHeight="1" x14ac:dyDescent="0.25">
      <c r="A47" s="785" t="s">
        <v>1472</v>
      </c>
      <c r="B47" s="169"/>
      <c r="C47" s="786"/>
      <c r="D47" s="787"/>
      <c r="E47" s="788">
        <v>4000000</v>
      </c>
      <c r="F47" s="733"/>
      <c r="G47" s="733"/>
      <c r="H47" s="788">
        <f t="shared" ref="H47:H56" si="21">E47/12*11</f>
        <v>3666666.6666666665</v>
      </c>
      <c r="I47" s="44">
        <f t="shared" si="19"/>
        <v>-3666666.6666666665</v>
      </c>
      <c r="J47" s="124">
        <f t="shared" si="20"/>
        <v>-1</v>
      </c>
      <c r="K47" s="789">
        <f t="shared" ref="K47:K56" si="22">E47</f>
        <v>4000000</v>
      </c>
    </row>
    <row r="48" spans="1:11" ht="12.75" customHeight="1" x14ac:dyDescent="0.25">
      <c r="A48" s="785" t="s">
        <v>1473</v>
      </c>
      <c r="B48" s="169"/>
      <c r="C48" s="786">
        <v>5557287</v>
      </c>
      <c r="D48" s="787"/>
      <c r="E48" s="788">
        <v>12835934</v>
      </c>
      <c r="F48" s="733"/>
      <c r="G48" s="733"/>
      <c r="H48" s="788">
        <f t="shared" si="21"/>
        <v>11766272.833333334</v>
      </c>
      <c r="I48" s="44">
        <f t="shared" si="19"/>
        <v>-11766272.833333334</v>
      </c>
      <c r="J48" s="124">
        <f t="shared" si="20"/>
        <v>-1</v>
      </c>
      <c r="K48" s="789">
        <f t="shared" si="22"/>
        <v>12835934</v>
      </c>
    </row>
    <row r="49" spans="1:11" ht="12.75" customHeight="1" x14ac:dyDescent="0.25">
      <c r="A49" s="785" t="s">
        <v>1444</v>
      </c>
      <c r="B49" s="169"/>
      <c r="C49" s="786"/>
      <c r="D49" s="733">
        <v>6124156</v>
      </c>
      <c r="E49" s="733">
        <v>6124156</v>
      </c>
      <c r="F49" s="733"/>
      <c r="G49" s="733"/>
      <c r="H49" s="733">
        <f t="shared" si="21"/>
        <v>5613809.666666666</v>
      </c>
      <c r="I49" s="44">
        <f t="shared" si="19"/>
        <v>-5613809.666666666</v>
      </c>
      <c r="J49" s="124">
        <f t="shared" si="20"/>
        <v>-1</v>
      </c>
      <c r="K49" s="733">
        <f t="shared" si="22"/>
        <v>6124156</v>
      </c>
    </row>
    <row r="50" spans="1:11" ht="12.75" customHeight="1" x14ac:dyDescent="0.25">
      <c r="A50" s="785" t="s">
        <v>1459</v>
      </c>
      <c r="B50" s="169"/>
      <c r="C50" s="786"/>
      <c r="D50" s="733">
        <v>2500000</v>
      </c>
      <c r="E50" s="733">
        <v>2500000</v>
      </c>
      <c r="F50" s="733"/>
      <c r="G50" s="733">
        <v>2500000</v>
      </c>
      <c r="H50" s="733">
        <f t="shared" si="21"/>
        <v>2291666.666666667</v>
      </c>
      <c r="I50" s="44">
        <f t="shared" si="19"/>
        <v>208333.33333333302</v>
      </c>
      <c r="J50" s="124">
        <f t="shared" si="20"/>
        <v>9.0909090909090759E-2</v>
      </c>
      <c r="K50" s="733">
        <f t="shared" si="22"/>
        <v>2500000</v>
      </c>
    </row>
    <row r="51" spans="1:11" ht="12.75" customHeight="1" x14ac:dyDescent="0.25">
      <c r="A51" s="785" t="s">
        <v>1439</v>
      </c>
      <c r="B51" s="169"/>
      <c r="C51" s="786">
        <v>1065175</v>
      </c>
      <c r="D51" s="733">
        <v>774000</v>
      </c>
      <c r="E51" s="733">
        <v>774000</v>
      </c>
      <c r="F51" s="733"/>
      <c r="G51" s="733"/>
      <c r="H51" s="733">
        <f t="shared" si="21"/>
        <v>709500</v>
      </c>
      <c r="I51" s="44">
        <f t="shared" si="19"/>
        <v>-709500</v>
      </c>
      <c r="J51" s="124">
        <f t="shared" si="20"/>
        <v>-1</v>
      </c>
      <c r="K51" s="733">
        <f t="shared" si="22"/>
        <v>774000</v>
      </c>
    </row>
    <row r="52" spans="1:11" ht="12.75" customHeight="1" x14ac:dyDescent="0.25">
      <c r="A52" s="785" t="s">
        <v>1440</v>
      </c>
      <c r="B52" s="169"/>
      <c r="C52" s="786">
        <v>9419741</v>
      </c>
      <c r="D52" s="733"/>
      <c r="E52" s="733">
        <v>2820431</v>
      </c>
      <c r="F52" s="733"/>
      <c r="G52" s="733">
        <v>97986000</v>
      </c>
      <c r="H52" s="788">
        <f t="shared" si="21"/>
        <v>2585395.083333333</v>
      </c>
      <c r="I52" s="44">
        <f t="shared" si="19"/>
        <v>95400604.916666672</v>
      </c>
      <c r="J52" s="124">
        <f t="shared" si="20"/>
        <v>36.899816794602742</v>
      </c>
      <c r="K52" s="733">
        <f t="shared" si="22"/>
        <v>2820431</v>
      </c>
    </row>
    <row r="53" spans="1:11" ht="12.75" customHeight="1" x14ac:dyDescent="0.25">
      <c r="A53" s="785" t="s">
        <v>1443</v>
      </c>
      <c r="B53" s="169"/>
      <c r="C53" s="786">
        <v>60811409</v>
      </c>
      <c r="D53" s="733">
        <v>244264000</v>
      </c>
      <c r="E53" s="733">
        <v>250388156</v>
      </c>
      <c r="F53" s="733">
        <v>807252.95</v>
      </c>
      <c r="G53" s="733">
        <v>42860336.030000009</v>
      </c>
      <c r="H53" s="733">
        <f t="shared" si="21"/>
        <v>229522476.33333334</v>
      </c>
      <c r="I53" s="44">
        <f t="shared" si="19"/>
        <v>-186662140.30333334</v>
      </c>
      <c r="J53" s="124">
        <f t="shared" si="20"/>
        <v>-0.81326301147189461</v>
      </c>
      <c r="K53" s="733">
        <f t="shared" si="22"/>
        <v>250388156</v>
      </c>
    </row>
    <row r="54" spans="1:11" ht="12.75" customHeight="1" x14ac:dyDescent="0.25">
      <c r="A54" s="785" t="s">
        <v>1445</v>
      </c>
      <c r="B54" s="169"/>
      <c r="C54" s="786"/>
      <c r="D54" s="733">
        <v>6750000</v>
      </c>
      <c r="E54" s="733">
        <v>6750000</v>
      </c>
      <c r="F54" s="733"/>
      <c r="G54" s="733"/>
      <c r="H54" s="733">
        <f t="shared" si="21"/>
        <v>6187500</v>
      </c>
      <c r="I54" s="44">
        <f t="shared" si="19"/>
        <v>-6187500</v>
      </c>
      <c r="J54" s="124">
        <f t="shared" si="20"/>
        <v>-1</v>
      </c>
      <c r="K54" s="733">
        <f t="shared" si="22"/>
        <v>6750000</v>
      </c>
    </row>
    <row r="55" spans="1:11" ht="12.75" customHeight="1" x14ac:dyDescent="0.25">
      <c r="A55" s="785" t="s">
        <v>1474</v>
      </c>
      <c r="B55" s="169"/>
      <c r="C55" s="786"/>
      <c r="D55" s="733"/>
      <c r="E55" s="788">
        <v>22465010</v>
      </c>
      <c r="F55" s="733"/>
      <c r="G55" s="733"/>
      <c r="H55" s="788">
        <f t="shared" si="21"/>
        <v>20592925.833333336</v>
      </c>
      <c r="I55" s="44">
        <f t="shared" si="19"/>
        <v>-20592925.833333336</v>
      </c>
      <c r="J55" s="124">
        <f t="shared" si="20"/>
        <v>-1</v>
      </c>
      <c r="K55" s="733">
        <f t="shared" si="22"/>
        <v>22465010</v>
      </c>
    </row>
    <row r="56" spans="1:11" ht="12.75" customHeight="1" x14ac:dyDescent="0.25">
      <c r="A56" s="782" t="s">
        <v>1446</v>
      </c>
      <c r="B56" s="169"/>
      <c r="C56" s="748">
        <v>400000</v>
      </c>
      <c r="D56" s="745">
        <v>10212000</v>
      </c>
      <c r="E56" s="733">
        <v>8285102</v>
      </c>
      <c r="F56" s="733"/>
      <c r="G56" s="733">
        <v>30000</v>
      </c>
      <c r="H56" s="733">
        <f t="shared" si="21"/>
        <v>7594676.833333333</v>
      </c>
      <c r="I56" s="44">
        <f t="shared" si="19"/>
        <v>-7564676.833333333</v>
      </c>
      <c r="J56" s="124">
        <f t="shared" ref="J56:J61" si="23">IF(I56=0,"",I56/H56)</f>
        <v>-0.9960498648384446</v>
      </c>
      <c r="K56" s="733">
        <f t="shared" si="22"/>
        <v>8285102</v>
      </c>
    </row>
    <row r="57" spans="1:11" ht="12.75" customHeight="1" x14ac:dyDescent="0.25">
      <c r="A57" s="106" t="str">
        <f>A29</f>
        <v>District Municipality:</v>
      </c>
      <c r="B57" s="169"/>
      <c r="C57" s="516">
        <f t="shared" ref="C57:H57" si="24">SUM(C58:C58)</f>
        <v>0</v>
      </c>
      <c r="D57" s="475">
        <f t="shared" si="24"/>
        <v>0</v>
      </c>
      <c r="E57" s="430">
        <f t="shared" si="24"/>
        <v>0</v>
      </c>
      <c r="F57" s="430">
        <f t="shared" si="24"/>
        <v>0</v>
      </c>
      <c r="G57" s="430">
        <f t="shared" si="24"/>
        <v>0</v>
      </c>
      <c r="H57" s="430">
        <f t="shared" si="24"/>
        <v>0</v>
      </c>
      <c r="I57" s="514">
        <f t="shared" si="19"/>
        <v>0</v>
      </c>
      <c r="J57" s="552" t="str">
        <f t="shared" si="23"/>
        <v/>
      </c>
      <c r="K57" s="513">
        <f>SUM(K58:K58)</f>
        <v>0</v>
      </c>
    </row>
    <row r="58" spans="1:11" ht="12.75" customHeight="1" x14ac:dyDescent="0.25">
      <c r="A58" s="781" t="s">
        <v>567</v>
      </c>
      <c r="B58" s="169"/>
      <c r="C58" s="783"/>
      <c r="D58" s="784"/>
      <c r="E58" s="737"/>
      <c r="F58" s="737"/>
      <c r="G58" s="737"/>
      <c r="H58" s="737"/>
      <c r="I58" s="514">
        <f t="shared" si="19"/>
        <v>0</v>
      </c>
      <c r="J58" s="552" t="str">
        <f t="shared" si="23"/>
        <v/>
      </c>
      <c r="K58" s="738"/>
    </row>
    <row r="59" spans="1:11" ht="12.75" customHeight="1" x14ac:dyDescent="0.25">
      <c r="A59" s="106" t="str">
        <f>A31</f>
        <v>Other grant providers:</v>
      </c>
      <c r="B59" s="169"/>
      <c r="C59" s="516">
        <f t="shared" ref="C59:H59" si="25">SUM(C60:C60)</f>
        <v>0</v>
      </c>
      <c r="D59" s="475">
        <f t="shared" si="25"/>
        <v>0</v>
      </c>
      <c r="E59" s="430">
        <f t="shared" si="25"/>
        <v>0</v>
      </c>
      <c r="F59" s="430">
        <f t="shared" si="25"/>
        <v>0</v>
      </c>
      <c r="G59" s="430">
        <f t="shared" si="25"/>
        <v>0</v>
      </c>
      <c r="H59" s="430">
        <f t="shared" si="25"/>
        <v>0</v>
      </c>
      <c r="I59" s="514">
        <f t="shared" si="19"/>
        <v>0</v>
      </c>
      <c r="J59" s="552" t="str">
        <f t="shared" si="23"/>
        <v/>
      </c>
      <c r="K59" s="513">
        <f>SUM(K60:K60)</f>
        <v>0</v>
      </c>
    </row>
    <row r="60" spans="1:11" ht="12.75" customHeight="1" x14ac:dyDescent="0.25">
      <c r="A60" s="781" t="s">
        <v>567</v>
      </c>
      <c r="B60" s="169"/>
      <c r="C60" s="783"/>
      <c r="D60" s="784"/>
      <c r="E60" s="737"/>
      <c r="F60" s="737"/>
      <c r="G60" s="737"/>
      <c r="H60" s="737"/>
      <c r="I60" s="514">
        <f t="shared" si="19"/>
        <v>0</v>
      </c>
      <c r="J60" s="552" t="str">
        <f t="shared" si="23"/>
        <v/>
      </c>
      <c r="K60" s="738"/>
    </row>
    <row r="61" spans="1:11" ht="12.75" customHeight="1" x14ac:dyDescent="0.25">
      <c r="A61" s="557" t="s">
        <v>64</v>
      </c>
      <c r="B61" s="309">
        <v>5</v>
      </c>
      <c r="C61" s="516">
        <f t="shared" ref="C61:I61" si="26">C36+C45+C57+C59</f>
        <v>430113749</v>
      </c>
      <c r="D61" s="475">
        <f t="shared" si="26"/>
        <v>525891580.99999988</v>
      </c>
      <c r="E61" s="430">
        <f t="shared" si="26"/>
        <v>654681080</v>
      </c>
      <c r="F61" s="430">
        <f t="shared" si="26"/>
        <v>807252.95</v>
      </c>
      <c r="G61" s="430">
        <f t="shared" si="26"/>
        <v>523281556.84000003</v>
      </c>
      <c r="H61" s="430">
        <f t="shared" si="26"/>
        <v>518762526.33333331</v>
      </c>
      <c r="I61" s="430">
        <f t="shared" si="26"/>
        <v>4519030.5066667199</v>
      </c>
      <c r="J61" s="553">
        <f t="shared" si="23"/>
        <v>8.7111737592298552E-3</v>
      </c>
      <c r="K61" s="513">
        <f>K36+K45+K57+K59</f>
        <v>654681080</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7">C33+C61</f>
        <v>1067241793</v>
      </c>
      <c r="D63" s="305">
        <f t="shared" si="27"/>
        <v>1201374821</v>
      </c>
      <c r="E63" s="306">
        <f t="shared" si="27"/>
        <v>1393592562</v>
      </c>
      <c r="F63" s="306">
        <f t="shared" si="27"/>
        <v>807252.95</v>
      </c>
      <c r="G63" s="306">
        <f t="shared" si="27"/>
        <v>1251333600.0300002</v>
      </c>
      <c r="H63" s="306">
        <f t="shared" si="27"/>
        <v>1196098051.5</v>
      </c>
      <c r="I63" s="306">
        <f t="shared" si="27"/>
        <v>55235548.53000012</v>
      </c>
      <c r="J63" s="307">
        <f>IF(I63=0,"",I63/H63)</f>
        <v>4.6179783054349471E-2</v>
      </c>
      <c r="K63" s="308">
        <f>K33+K61</f>
        <v>1393592562</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2"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Normal="100" workbookViewId="0">
      <pane xSplit="1" ySplit="4" topLeftCell="B26" activePane="bottomRight" state="frozen"/>
      <selection pane="topRight"/>
      <selection pane="bottomLeft"/>
      <selection pane="bottomRight" activeCell="C56" sqref="C56:C57"/>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"&amp;S71M&amp; " - "&amp;Head57</f>
        <v>KZN225 Msunduzi - Supporting Table SC7(1) Monthly Budget Statement - transfers and grant expenditure  - M11 May</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588690909</v>
      </c>
      <c r="D8" s="51">
        <f t="shared" si="0"/>
        <v>608608575</v>
      </c>
      <c r="E8" s="50">
        <f t="shared" si="0"/>
        <v>697606575</v>
      </c>
      <c r="F8" s="50">
        <f t="shared" si="0"/>
        <v>1080869.08</v>
      </c>
      <c r="G8" s="50">
        <f t="shared" si="0"/>
        <v>702474158.86000001</v>
      </c>
      <c r="H8" s="50">
        <f t="shared" si="0"/>
        <v>639472693.75</v>
      </c>
      <c r="I8" s="50">
        <f t="shared" si="0"/>
        <v>63001465.110000081</v>
      </c>
      <c r="J8" s="343">
        <f t="shared" ref="J8:J33" si="1">IF(I8=0,"",I8/H8)</f>
        <v>9.8520962233033707E-2</v>
      </c>
      <c r="K8" s="194">
        <f>SUM(K9:K16)</f>
        <v>697606575</v>
      </c>
    </row>
    <row r="9" spans="1:11" x14ac:dyDescent="0.25">
      <c r="A9" s="396" t="s">
        <v>986</v>
      </c>
      <c r="B9" s="169"/>
      <c r="C9" s="779">
        <v>546052000</v>
      </c>
      <c r="D9" s="780">
        <v>593405000</v>
      </c>
      <c r="E9" s="734">
        <v>682403000</v>
      </c>
      <c r="F9" s="734"/>
      <c r="G9" s="734">
        <v>682403000</v>
      </c>
      <c r="H9" s="733">
        <f>E9/12*11</f>
        <v>625536083.33333325</v>
      </c>
      <c r="I9" s="514">
        <f>G9-H9</f>
        <v>56866916.666666746</v>
      </c>
      <c r="J9" s="552">
        <f t="shared" si="1"/>
        <v>9.090909090909105E-2</v>
      </c>
      <c r="K9" s="736">
        <f>E9</f>
        <v>682403000</v>
      </c>
    </row>
    <row r="10" spans="1:11" x14ac:dyDescent="0.25">
      <c r="A10" s="396" t="s">
        <v>988</v>
      </c>
      <c r="B10" s="169"/>
      <c r="C10" s="748">
        <v>1700000</v>
      </c>
      <c r="D10" s="745">
        <v>1700000</v>
      </c>
      <c r="E10" s="733">
        <v>1700000</v>
      </c>
      <c r="F10" s="733">
        <v>89844.52</v>
      </c>
      <c r="G10" s="733">
        <v>913348.55999999982</v>
      </c>
      <c r="H10" s="733">
        <f>E10/12*11</f>
        <v>1558333.3333333333</v>
      </c>
      <c r="I10" s="514">
        <f t="shared" ref="I10:I16" si="2">G10-H10</f>
        <v>-644984.77333333343</v>
      </c>
      <c r="J10" s="552">
        <f t="shared" ref="J10:J16" si="3">IF(I10=0,"",I10/H10)</f>
        <v>-0.41389397219251345</v>
      </c>
      <c r="K10" s="736">
        <f>E10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v>4200000</v>
      </c>
      <c r="D12" s="745">
        <v>4388000</v>
      </c>
      <c r="E12" s="733">
        <v>4388000</v>
      </c>
      <c r="F12" s="733">
        <v>610550.21</v>
      </c>
      <c r="G12" s="733">
        <v>3773633.24</v>
      </c>
      <c r="H12" s="733">
        <f>E12/12*11</f>
        <v>4022333.3333333335</v>
      </c>
      <c r="I12" s="514">
        <f t="shared" si="2"/>
        <v>-248700.09333333327</v>
      </c>
      <c r="J12" s="552">
        <f t="shared" si="3"/>
        <v>-6.1829806911411267E-2</v>
      </c>
      <c r="K12" s="736">
        <f>E12</f>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v>14834432</v>
      </c>
      <c r="D14" s="745"/>
      <c r="E14" s="733"/>
      <c r="F14" s="733"/>
      <c r="G14" s="733">
        <v>5228862.8400000008</v>
      </c>
      <c r="H14" s="733"/>
      <c r="I14" s="514">
        <f t="shared" si="2"/>
        <v>5228862.8400000008</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v>21904477</v>
      </c>
      <c r="D16" s="745">
        <v>9115575</v>
      </c>
      <c r="E16" s="733">
        <v>9115575</v>
      </c>
      <c r="F16" s="733">
        <v>380474.35</v>
      </c>
      <c r="G16" s="733">
        <v>10155314.220000001</v>
      </c>
      <c r="H16" s="733">
        <f>E16/12*11</f>
        <v>8355943.75</v>
      </c>
      <c r="I16" s="514">
        <f t="shared" si="2"/>
        <v>1799370.4700000007</v>
      </c>
      <c r="J16" s="552">
        <f t="shared" si="3"/>
        <v>0.21534018464401472</v>
      </c>
      <c r="K16" s="736">
        <f>E16</f>
        <v>9115575</v>
      </c>
    </row>
    <row r="17" spans="1:11" ht="12.75" customHeight="1" x14ac:dyDescent="0.25">
      <c r="A17" s="397" t="str">
        <f>'SC6'!A17</f>
        <v>Provincial Government:</v>
      </c>
      <c r="B17" s="169"/>
      <c r="C17" s="516">
        <f t="shared" ref="C17:I17" si="4">SUM(C18:C28)</f>
        <v>48437135</v>
      </c>
      <c r="D17" s="475">
        <f t="shared" si="4"/>
        <v>66874665</v>
      </c>
      <c r="E17" s="430">
        <f t="shared" si="4"/>
        <v>66874665</v>
      </c>
      <c r="F17" s="430">
        <f t="shared" si="4"/>
        <v>4283713.24</v>
      </c>
      <c r="G17" s="430">
        <f t="shared" si="4"/>
        <v>42732929.109999992</v>
      </c>
      <c r="H17" s="430">
        <f t="shared" si="4"/>
        <v>61301776.25</v>
      </c>
      <c r="I17" s="430">
        <f t="shared" si="4"/>
        <v>-18568847.140000001</v>
      </c>
      <c r="J17" s="553">
        <f t="shared" si="1"/>
        <v>-0.30290879442502289</v>
      </c>
      <c r="K17" s="513">
        <f>SUM(K18:K28)</f>
        <v>66874665</v>
      </c>
    </row>
    <row r="18" spans="1:11" ht="12.75" customHeight="1" x14ac:dyDescent="0.25">
      <c r="A18" s="396" t="s">
        <v>623</v>
      </c>
      <c r="B18" s="169"/>
      <c r="C18" s="779"/>
      <c r="D18" s="780"/>
      <c r="E18" s="734"/>
      <c r="F18" s="734"/>
      <c r="G18" s="734"/>
      <c r="H18" s="734"/>
      <c r="I18" s="514">
        <f t="shared" ref="I18:I28" si="5">G18-H18</f>
        <v>0</v>
      </c>
      <c r="J18" s="552" t="str">
        <f t="shared" si="1"/>
        <v/>
      </c>
      <c r="K18" s="736"/>
    </row>
    <row r="19" spans="1:11" ht="12.75" customHeight="1" x14ac:dyDescent="0.25">
      <c r="A19" s="396" t="s">
        <v>1452</v>
      </c>
      <c r="B19" s="169"/>
      <c r="C19" s="748"/>
      <c r="D19" s="745"/>
      <c r="E19" s="733"/>
      <c r="F19" s="733"/>
      <c r="G19" s="733"/>
      <c r="H19" s="733"/>
      <c r="I19" s="44">
        <f t="shared" si="5"/>
        <v>0</v>
      </c>
      <c r="J19" s="124" t="str">
        <f t="shared" si="1"/>
        <v/>
      </c>
      <c r="K19" s="735"/>
    </row>
    <row r="20" spans="1:11" ht="12.75" customHeight="1" x14ac:dyDescent="0.25">
      <c r="A20" s="396" t="s">
        <v>771</v>
      </c>
      <c r="B20" s="169"/>
      <c r="C20" s="748"/>
      <c r="D20" s="745"/>
      <c r="E20" s="733"/>
      <c r="F20" s="733"/>
      <c r="G20" s="733"/>
      <c r="H20" s="733"/>
      <c r="I20" s="44">
        <f t="shared" si="5"/>
        <v>0</v>
      </c>
      <c r="J20" s="124" t="str">
        <f t="shared" si="1"/>
        <v/>
      </c>
      <c r="K20" s="735"/>
    </row>
    <row r="21" spans="1:11" ht="12.75" customHeight="1" x14ac:dyDescent="0.25">
      <c r="A21" s="396" t="s">
        <v>1434</v>
      </c>
      <c r="B21" s="169"/>
      <c r="C21" s="748"/>
      <c r="D21" s="745">
        <v>3603000</v>
      </c>
      <c r="E21" s="733">
        <v>3603000</v>
      </c>
      <c r="F21" s="733"/>
      <c r="G21" s="733"/>
      <c r="H21" s="733">
        <f t="shared" ref="H21:H24" si="6">E21/12*11</f>
        <v>3302750</v>
      </c>
      <c r="I21" s="44">
        <f t="shared" si="5"/>
        <v>-3302750</v>
      </c>
      <c r="J21" s="124">
        <f t="shared" si="1"/>
        <v>-1</v>
      </c>
      <c r="K21" s="735">
        <f t="shared" ref="K21:K24" si="7">E21</f>
        <v>3603000</v>
      </c>
    </row>
    <row r="22" spans="1:11" ht="12.75" customHeight="1" x14ac:dyDescent="0.25">
      <c r="A22" s="396" t="s">
        <v>1435</v>
      </c>
      <c r="B22" s="169"/>
      <c r="C22" s="748"/>
      <c r="D22" s="745">
        <v>4264000</v>
      </c>
      <c r="E22" s="733">
        <v>4264000</v>
      </c>
      <c r="F22" s="733"/>
      <c r="G22" s="733"/>
      <c r="H22" s="733">
        <f t="shared" si="6"/>
        <v>3908666.6666666665</v>
      </c>
      <c r="I22" s="44">
        <f t="shared" si="5"/>
        <v>-3908666.6666666665</v>
      </c>
      <c r="J22" s="124">
        <f t="shared" si="1"/>
        <v>-1</v>
      </c>
      <c r="K22" s="735">
        <f t="shared" si="7"/>
        <v>4264000</v>
      </c>
    </row>
    <row r="23" spans="1:11" ht="12.75" customHeight="1" x14ac:dyDescent="0.25">
      <c r="A23" s="396" t="s">
        <v>1436</v>
      </c>
      <c r="B23" s="169"/>
      <c r="C23" s="748"/>
      <c r="D23" s="745">
        <v>24079242</v>
      </c>
      <c r="E23" s="733">
        <v>24079242</v>
      </c>
      <c r="F23" s="733"/>
      <c r="G23" s="733"/>
      <c r="H23" s="733">
        <f t="shared" si="6"/>
        <v>22072638.5</v>
      </c>
      <c r="I23" s="44">
        <f t="shared" si="5"/>
        <v>-22072638.5</v>
      </c>
      <c r="J23" s="124">
        <f t="shared" si="1"/>
        <v>-1</v>
      </c>
      <c r="K23" s="735">
        <f t="shared" si="7"/>
        <v>24079242</v>
      </c>
    </row>
    <row r="24" spans="1:11" ht="12.75" customHeight="1" x14ac:dyDescent="0.25">
      <c r="A24" s="396" t="s">
        <v>1437</v>
      </c>
      <c r="B24" s="169"/>
      <c r="C24" s="748">
        <v>14582180</v>
      </c>
      <c r="D24" s="745">
        <v>22740423</v>
      </c>
      <c r="E24" s="733">
        <v>22740423</v>
      </c>
      <c r="F24" s="733">
        <v>3772627.49</v>
      </c>
      <c r="G24" s="733">
        <v>31093343.399999995</v>
      </c>
      <c r="H24" s="733">
        <f t="shared" si="6"/>
        <v>20845387.75</v>
      </c>
      <c r="I24" s="44">
        <f t="shared" si="5"/>
        <v>10247955.649999995</v>
      </c>
      <c r="J24" s="124">
        <f t="shared" si="1"/>
        <v>0.49161741546400328</v>
      </c>
      <c r="K24" s="735">
        <f t="shared" si="7"/>
        <v>22740423</v>
      </c>
    </row>
    <row r="25" spans="1:11" ht="12.75" customHeight="1" x14ac:dyDescent="0.25">
      <c r="A25" s="396" t="s">
        <v>1451</v>
      </c>
      <c r="B25" s="169"/>
      <c r="C25" s="748">
        <v>27665322</v>
      </c>
      <c r="D25" s="745"/>
      <c r="E25" s="733"/>
      <c r="F25" s="733"/>
      <c r="G25" s="733"/>
      <c r="H25" s="733"/>
      <c r="I25" s="44">
        <f t="shared" si="5"/>
        <v>0</v>
      </c>
      <c r="J25" s="124" t="str">
        <f t="shared" si="1"/>
        <v/>
      </c>
      <c r="K25" s="735"/>
    </row>
    <row r="26" spans="1:11" ht="12.75" customHeight="1" x14ac:dyDescent="0.25">
      <c r="A26" s="396" t="s">
        <v>1438</v>
      </c>
      <c r="B26" s="169"/>
      <c r="C26" s="748"/>
      <c r="D26" s="745">
        <v>10200000</v>
      </c>
      <c r="E26" s="733">
        <v>10200000</v>
      </c>
      <c r="F26" s="733">
        <v>239232.33</v>
      </c>
      <c r="G26" s="733">
        <v>8902310.6999999993</v>
      </c>
      <c r="H26" s="733">
        <f t="shared" ref="H26:H28" si="8">E26/12*11</f>
        <v>9350000</v>
      </c>
      <c r="I26" s="44">
        <f t="shared" si="5"/>
        <v>-447689.30000000075</v>
      </c>
      <c r="J26" s="124">
        <f t="shared" si="1"/>
        <v>-4.7881208556149815E-2</v>
      </c>
      <c r="K26" s="735">
        <f t="shared" ref="K26:K28" si="9">E26</f>
        <v>10200000</v>
      </c>
    </row>
    <row r="27" spans="1:11" ht="12.75" customHeight="1" x14ac:dyDescent="0.25">
      <c r="A27" s="396" t="s">
        <v>1439</v>
      </c>
      <c r="B27" s="169"/>
      <c r="C27" s="748">
        <v>242517</v>
      </c>
      <c r="D27" s="745">
        <v>488000</v>
      </c>
      <c r="E27" s="733">
        <v>488000</v>
      </c>
      <c r="F27" s="733"/>
      <c r="G27" s="733"/>
      <c r="H27" s="733">
        <f t="shared" si="8"/>
        <v>447333.33333333331</v>
      </c>
      <c r="I27" s="44">
        <f t="shared" si="5"/>
        <v>-447333.33333333331</v>
      </c>
      <c r="J27" s="124">
        <f t="shared" si="1"/>
        <v>-1</v>
      </c>
      <c r="K27" s="735">
        <f t="shared" si="9"/>
        <v>488000</v>
      </c>
    </row>
    <row r="28" spans="1:11" ht="12.75" customHeight="1" x14ac:dyDescent="0.25">
      <c r="A28" s="396" t="s">
        <v>1440</v>
      </c>
      <c r="B28" s="169"/>
      <c r="C28" s="748">
        <v>5947116</v>
      </c>
      <c r="D28" s="745">
        <v>1500000</v>
      </c>
      <c r="E28" s="733">
        <v>1500000</v>
      </c>
      <c r="F28" s="733">
        <v>271853.42</v>
      </c>
      <c r="G28" s="733">
        <v>2737275.01</v>
      </c>
      <c r="H28" s="733">
        <f t="shared" si="8"/>
        <v>1375000</v>
      </c>
      <c r="I28" s="44">
        <f t="shared" si="5"/>
        <v>1362275.0099999998</v>
      </c>
      <c r="J28" s="124">
        <f t="shared" si="1"/>
        <v>0.99074546181818168</v>
      </c>
      <c r="K28" s="735">
        <f t="shared" si="9"/>
        <v>1500000</v>
      </c>
    </row>
    <row r="29" spans="1:11" ht="12.75" customHeight="1" x14ac:dyDescent="0.25">
      <c r="A29" s="397" t="str">
        <f>'SC6'!A29</f>
        <v>District Municipality:</v>
      </c>
      <c r="B29" s="169"/>
      <c r="C29" s="516">
        <f t="shared" ref="C29:H29" si="10">SUM(C30:C30)</f>
        <v>0</v>
      </c>
      <c r="D29" s="475">
        <f t="shared" si="10"/>
        <v>0</v>
      </c>
      <c r="E29" s="430">
        <f t="shared" si="10"/>
        <v>0</v>
      </c>
      <c r="F29" s="430">
        <f t="shared" si="10"/>
        <v>0</v>
      </c>
      <c r="G29" s="430">
        <f t="shared" si="10"/>
        <v>0</v>
      </c>
      <c r="H29" s="430">
        <f t="shared" si="10"/>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11">SUM(C32:C32)</f>
        <v>0</v>
      </c>
      <c r="D31" s="475">
        <f t="shared" si="11"/>
        <v>0</v>
      </c>
      <c r="E31" s="430">
        <f t="shared" si="11"/>
        <v>0</v>
      </c>
      <c r="F31" s="430">
        <f t="shared" si="11"/>
        <v>0</v>
      </c>
      <c r="G31" s="430">
        <f t="shared" si="11"/>
        <v>0</v>
      </c>
      <c r="H31" s="430">
        <f t="shared" si="11"/>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2">C8+C17+C29+C31</f>
        <v>637128044</v>
      </c>
      <c r="D33" s="74">
        <f t="shared" si="12"/>
        <v>675483240</v>
      </c>
      <c r="E33" s="73">
        <f t="shared" si="12"/>
        <v>764481240</v>
      </c>
      <c r="F33" s="73">
        <f t="shared" si="12"/>
        <v>5364582.32</v>
      </c>
      <c r="G33" s="73">
        <f t="shared" si="12"/>
        <v>745207087.97000003</v>
      </c>
      <c r="H33" s="73">
        <f t="shared" si="12"/>
        <v>700774470</v>
      </c>
      <c r="I33" s="73">
        <f t="shared" si="12"/>
        <v>44432617.970000081</v>
      </c>
      <c r="J33" s="304">
        <f t="shared" si="1"/>
        <v>6.3405018122306991E-2</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3">SUM(C37:C44)</f>
        <v>352860137</v>
      </c>
      <c r="D36" s="46">
        <f t="shared" si="13"/>
        <v>255267424.99999985</v>
      </c>
      <c r="E36" s="44">
        <f t="shared" si="13"/>
        <v>255267424.99999985</v>
      </c>
      <c r="F36" s="44">
        <f t="shared" si="13"/>
        <v>30291439.119999997</v>
      </c>
      <c r="G36" s="44">
        <f t="shared" si="13"/>
        <v>361267321.07000005</v>
      </c>
      <c r="H36" s="44">
        <f t="shared" si="13"/>
        <v>233995139.58333319</v>
      </c>
      <c r="I36" s="44">
        <f t="shared" si="13"/>
        <v>127272181.48666686</v>
      </c>
      <c r="J36" s="343">
        <f>IF(I36=0,"",I36/H36)</f>
        <v>0.54390950903209312</v>
      </c>
      <c r="K36" s="144">
        <f t="shared" si="13"/>
        <v>255267424.99999985</v>
      </c>
    </row>
    <row r="37" spans="1:11" ht="12.75" customHeight="1" x14ac:dyDescent="0.25">
      <c r="A37" s="396" t="s">
        <v>1441</v>
      </c>
      <c r="B37" s="169"/>
      <c r="C37" s="779">
        <v>164899849</v>
      </c>
      <c r="D37" s="780">
        <v>187012424.99999985</v>
      </c>
      <c r="E37" s="734">
        <v>187012424.99999985</v>
      </c>
      <c r="F37" s="734">
        <v>17656249.009999998</v>
      </c>
      <c r="G37" s="734">
        <v>187929208.29000002</v>
      </c>
      <c r="H37" s="734">
        <f>E37/12*11</f>
        <v>171428056.24999985</v>
      </c>
      <c r="I37" s="514">
        <f>G37-H37</f>
        <v>16501152.04000017</v>
      </c>
      <c r="J37" s="552">
        <f>IF(I37=0,"",I37/H37)</f>
        <v>9.6257009505701513E-2</v>
      </c>
      <c r="K37" s="736">
        <f>E37</f>
        <v>187012424.99999985</v>
      </c>
    </row>
    <row r="38" spans="1:11" ht="12" customHeight="1" x14ac:dyDescent="0.25">
      <c r="A38" s="396" t="s">
        <v>1453</v>
      </c>
      <c r="B38" s="169"/>
      <c r="C38" s="748">
        <v>117251994</v>
      </c>
      <c r="D38" s="745"/>
      <c r="E38" s="733"/>
      <c r="F38" s="733">
        <v>8936251.3000000007</v>
      </c>
      <c r="G38" s="733">
        <v>141573074.23000002</v>
      </c>
      <c r="H38" s="733"/>
      <c r="I38" s="44">
        <f t="shared" ref="I38:I44" si="14">G38-H38</f>
        <v>141573074.23000002</v>
      </c>
      <c r="J38" s="124" t="e">
        <f t="shared" ref="J38:J44" si="15">IF(I38=0,"",I38/H38)</f>
        <v>#DIV/0!</v>
      </c>
      <c r="K38" s="736"/>
    </row>
    <row r="39" spans="1:11" ht="12" customHeight="1" x14ac:dyDescent="0.25">
      <c r="A39" s="396" t="s">
        <v>1001</v>
      </c>
      <c r="B39" s="169"/>
      <c r="C39" s="748">
        <v>9957109</v>
      </c>
      <c r="D39" s="745">
        <v>35000000</v>
      </c>
      <c r="E39" s="733">
        <v>35000000</v>
      </c>
      <c r="F39" s="733"/>
      <c r="G39" s="733">
        <v>3403986.8499999996</v>
      </c>
      <c r="H39" s="733">
        <f>E39/12*11</f>
        <v>32083333.333333332</v>
      </c>
      <c r="I39" s="44">
        <f t="shared" si="14"/>
        <v>-28679346.483333334</v>
      </c>
      <c r="J39" s="124">
        <f t="shared" si="15"/>
        <v>-0.89390170857142859</v>
      </c>
      <c r="K39" s="736">
        <f>E39</f>
        <v>35000000</v>
      </c>
    </row>
    <row r="40" spans="1:11" ht="12" customHeight="1" x14ac:dyDescent="0.25">
      <c r="A40" s="396" t="s">
        <v>1454</v>
      </c>
      <c r="B40" s="169"/>
      <c r="C40" s="748"/>
      <c r="D40" s="745"/>
      <c r="E40" s="733"/>
      <c r="F40" s="733"/>
      <c r="G40" s="733"/>
      <c r="H40" s="733"/>
      <c r="I40" s="44">
        <f t="shared" si="14"/>
        <v>0</v>
      </c>
      <c r="J40" s="124" t="str">
        <f t="shared" si="15"/>
        <v/>
      </c>
      <c r="K40" s="736"/>
    </row>
    <row r="41" spans="1:11" ht="12.75" customHeight="1" x14ac:dyDescent="0.25">
      <c r="A41" s="396" t="s">
        <v>1455</v>
      </c>
      <c r="B41" s="169"/>
      <c r="C41" s="748"/>
      <c r="D41" s="745"/>
      <c r="E41" s="733"/>
      <c r="F41" s="733"/>
      <c r="G41" s="733"/>
      <c r="H41" s="733"/>
      <c r="I41" s="44">
        <f t="shared" si="14"/>
        <v>0</v>
      </c>
      <c r="J41" s="124" t="str">
        <f t="shared" si="15"/>
        <v/>
      </c>
      <c r="K41" s="736"/>
    </row>
    <row r="42" spans="1:11" ht="12.75" customHeight="1" x14ac:dyDescent="0.25">
      <c r="A42" s="396" t="s">
        <v>566</v>
      </c>
      <c r="B42" s="169"/>
      <c r="C42" s="748"/>
      <c r="D42" s="745"/>
      <c r="E42" s="733"/>
      <c r="F42" s="733"/>
      <c r="G42" s="733"/>
      <c r="H42" s="733"/>
      <c r="I42" s="44">
        <f t="shared" si="14"/>
        <v>0</v>
      </c>
      <c r="J42" s="124" t="str">
        <f t="shared" si="15"/>
        <v/>
      </c>
      <c r="K42" s="736"/>
    </row>
    <row r="43" spans="1:11" ht="12.75" customHeight="1" x14ac:dyDescent="0.25">
      <c r="A43" s="396" t="s">
        <v>1442</v>
      </c>
      <c r="B43" s="169"/>
      <c r="C43" s="748">
        <v>52751849</v>
      </c>
      <c r="D43" s="745">
        <v>33255000</v>
      </c>
      <c r="E43" s="733">
        <v>33255000</v>
      </c>
      <c r="F43" s="733">
        <v>3698938.8099999996</v>
      </c>
      <c r="G43" s="733">
        <v>28361051.699999999</v>
      </c>
      <c r="H43" s="733">
        <f>E43/12*11</f>
        <v>30483750</v>
      </c>
      <c r="I43" s="44">
        <f t="shared" si="14"/>
        <v>-2122698.3000000007</v>
      </c>
      <c r="J43" s="124">
        <f t="shared" si="15"/>
        <v>-6.9633765530815628E-2</v>
      </c>
      <c r="K43" s="736">
        <f>E43</f>
        <v>33255000</v>
      </c>
    </row>
    <row r="44" spans="1:11" ht="12.75" customHeight="1" x14ac:dyDescent="0.25">
      <c r="A44" s="396" t="s">
        <v>1456</v>
      </c>
      <c r="B44" s="169"/>
      <c r="C44" s="748">
        <v>7999336</v>
      </c>
      <c r="D44" s="745"/>
      <c r="E44" s="733"/>
      <c r="F44" s="733"/>
      <c r="G44" s="733"/>
      <c r="H44" s="733"/>
      <c r="I44" s="44">
        <f t="shared" si="14"/>
        <v>0</v>
      </c>
      <c r="J44" s="124" t="str">
        <f t="shared" si="15"/>
        <v/>
      </c>
      <c r="K44" s="736"/>
    </row>
    <row r="45" spans="1:11" ht="12.75" customHeight="1" x14ac:dyDescent="0.25">
      <c r="A45" s="397" t="str">
        <f>'SC6'!A45</f>
        <v>Provincial Government:</v>
      </c>
      <c r="B45" s="169"/>
      <c r="C45" s="516">
        <f t="shared" ref="C45:H45" si="16">SUM(C46:C57)</f>
        <v>77253612</v>
      </c>
      <c r="D45" s="475">
        <f t="shared" si="16"/>
        <v>270624156</v>
      </c>
      <c r="E45" s="430">
        <f t="shared" si="16"/>
        <v>270624156</v>
      </c>
      <c r="F45" s="430">
        <f t="shared" si="16"/>
        <v>1644461.6600000001</v>
      </c>
      <c r="G45" s="430">
        <f t="shared" si="16"/>
        <v>47246921.950000003</v>
      </c>
      <c r="H45" s="430">
        <f t="shared" si="16"/>
        <v>248072143</v>
      </c>
      <c r="I45" s="514">
        <f>G45-H45</f>
        <v>-200825221.05000001</v>
      </c>
      <c r="J45" s="552">
        <f>IF(I45=0,"",I45/H45)</f>
        <v>-0.80954362155044557</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c r="G47" s="788"/>
      <c r="H47" s="788"/>
      <c r="I47" s="44"/>
      <c r="J47" s="124"/>
      <c r="K47" s="789"/>
    </row>
    <row r="48" spans="1:11" ht="12.75" customHeight="1" x14ac:dyDescent="0.25">
      <c r="A48" s="397" t="s">
        <v>771</v>
      </c>
      <c r="B48" s="169"/>
      <c r="C48" s="786"/>
      <c r="D48" s="787"/>
      <c r="E48" s="788"/>
      <c r="F48" s="788">
        <v>427535.61</v>
      </c>
      <c r="G48" s="788">
        <v>427535.6100000001</v>
      </c>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33">
        <v>6124156</v>
      </c>
      <c r="F50" s="788"/>
      <c r="G50" s="788"/>
      <c r="H50" s="733">
        <f t="shared" ref="H50:H52" si="17">E50/12*11</f>
        <v>5613809.666666666</v>
      </c>
      <c r="I50" s="44"/>
      <c r="J50" s="124"/>
      <c r="K50" s="733">
        <f t="shared" ref="K50:K52" si="18">E50</f>
        <v>6124156</v>
      </c>
    </row>
    <row r="51" spans="1:11" ht="12.75" customHeight="1" x14ac:dyDescent="0.25">
      <c r="A51" s="397" t="s">
        <v>1459</v>
      </c>
      <c r="B51" s="169"/>
      <c r="C51" s="786"/>
      <c r="D51" s="733">
        <v>2500000</v>
      </c>
      <c r="E51" s="733">
        <v>2500000</v>
      </c>
      <c r="F51" s="788"/>
      <c r="G51" s="788">
        <v>2038113.77</v>
      </c>
      <c r="H51" s="733">
        <f t="shared" si="17"/>
        <v>2291666.666666667</v>
      </c>
      <c r="I51" s="44"/>
      <c r="J51" s="124"/>
      <c r="K51" s="733">
        <f t="shared" si="18"/>
        <v>2500000</v>
      </c>
    </row>
    <row r="52" spans="1:11" ht="12.75" customHeight="1" x14ac:dyDescent="0.25">
      <c r="A52" s="397" t="s">
        <v>1439</v>
      </c>
      <c r="B52" s="169"/>
      <c r="C52" s="786"/>
      <c r="D52" s="733">
        <v>774000</v>
      </c>
      <c r="E52" s="733">
        <v>774000</v>
      </c>
      <c r="F52" s="788"/>
      <c r="G52" s="788"/>
      <c r="H52" s="733">
        <f t="shared" si="17"/>
        <v>709500</v>
      </c>
      <c r="I52" s="44"/>
      <c r="J52" s="124"/>
      <c r="K52" s="733">
        <f t="shared" si="18"/>
        <v>774000</v>
      </c>
    </row>
    <row r="53" spans="1:11" ht="12.75" customHeight="1" x14ac:dyDescent="0.25">
      <c r="A53" s="397" t="s">
        <v>1440</v>
      </c>
      <c r="B53" s="169"/>
      <c r="C53" s="786">
        <v>14977028</v>
      </c>
      <c r="D53" s="733"/>
      <c r="E53" s="733"/>
      <c r="F53" s="788">
        <v>1096575.05</v>
      </c>
      <c r="G53" s="788">
        <v>8363555.2300000004</v>
      </c>
      <c r="H53" s="733"/>
      <c r="I53" s="44"/>
      <c r="J53" s="124"/>
      <c r="K53" s="733"/>
    </row>
    <row r="54" spans="1:11" ht="12.75" customHeight="1" x14ac:dyDescent="0.25">
      <c r="A54" s="397" t="s">
        <v>1443</v>
      </c>
      <c r="B54" s="169"/>
      <c r="C54" s="786">
        <v>60811409</v>
      </c>
      <c r="D54" s="733">
        <v>244264000</v>
      </c>
      <c r="E54" s="733">
        <v>244264000</v>
      </c>
      <c r="F54" s="788"/>
      <c r="G54" s="788"/>
      <c r="H54" s="733">
        <f t="shared" ref="H54:H55" si="19">E54/12*11</f>
        <v>223908666.66666666</v>
      </c>
      <c r="I54" s="44"/>
      <c r="J54" s="124"/>
      <c r="K54" s="733">
        <f t="shared" ref="K54:K55" si="20">E54</f>
        <v>244264000</v>
      </c>
    </row>
    <row r="55" spans="1:11" ht="12.75" customHeight="1" x14ac:dyDescent="0.25">
      <c r="A55" s="397" t="s">
        <v>1445</v>
      </c>
      <c r="B55" s="169"/>
      <c r="C55" s="786"/>
      <c r="D55" s="733">
        <v>6750000</v>
      </c>
      <c r="E55" s="733">
        <v>6750000</v>
      </c>
      <c r="F55" s="733"/>
      <c r="G55" s="733">
        <v>36297366.340000004</v>
      </c>
      <c r="H55" s="733">
        <f t="shared" si="19"/>
        <v>6187500</v>
      </c>
      <c r="I55" s="44"/>
      <c r="J55" s="124"/>
      <c r="K55" s="733">
        <f t="shared" si="20"/>
        <v>6750000</v>
      </c>
    </row>
    <row r="56" spans="1:11" ht="12.75" customHeight="1" x14ac:dyDescent="0.25">
      <c r="A56" s="397" t="s">
        <v>623</v>
      </c>
      <c r="B56" s="169"/>
      <c r="C56" s="786">
        <v>1065175</v>
      </c>
      <c r="D56" s="733"/>
      <c r="E56" s="788"/>
      <c r="F56" s="788"/>
      <c r="G56" s="788"/>
      <c r="H56" s="788"/>
      <c r="I56" s="44"/>
      <c r="J56" s="124"/>
      <c r="K56" s="789"/>
    </row>
    <row r="57" spans="1:11" ht="12.75" customHeight="1" x14ac:dyDescent="0.25">
      <c r="A57" s="396" t="s">
        <v>1446</v>
      </c>
      <c r="B57" s="169"/>
      <c r="C57" s="748">
        <v>400000</v>
      </c>
      <c r="D57" s="733">
        <v>10212000</v>
      </c>
      <c r="E57" s="733">
        <v>10212000</v>
      </c>
      <c r="F57" s="733">
        <v>120351</v>
      </c>
      <c r="G57" s="733">
        <v>120351</v>
      </c>
      <c r="H57" s="733">
        <f>E57/12*11</f>
        <v>9361000</v>
      </c>
      <c r="I57" s="44">
        <f>G57-H57</f>
        <v>-9240649</v>
      </c>
      <c r="J57" s="124">
        <f t="shared" ref="J57:J62" si="21">IF(I57=0,"",I57/H57)</f>
        <v>-0.98714336075205644</v>
      </c>
      <c r="K57" s="735">
        <f>E57</f>
        <v>10212000</v>
      </c>
    </row>
    <row r="58" spans="1:11" ht="12.75" customHeight="1" x14ac:dyDescent="0.25">
      <c r="A58" s="397" t="str">
        <f>'SC6'!A57</f>
        <v>District Municipality:</v>
      </c>
      <c r="B58" s="169"/>
      <c r="C58" s="516">
        <f t="shared" ref="C58:H58" si="22">SUM(C59:C59)</f>
        <v>0</v>
      </c>
      <c r="D58" s="475">
        <f t="shared" si="22"/>
        <v>0</v>
      </c>
      <c r="E58" s="430">
        <f t="shared" si="22"/>
        <v>0</v>
      </c>
      <c r="F58" s="430">
        <f t="shared" si="22"/>
        <v>0</v>
      </c>
      <c r="G58" s="430">
        <f t="shared" si="22"/>
        <v>0</v>
      </c>
      <c r="H58" s="430">
        <f t="shared" si="22"/>
        <v>0</v>
      </c>
      <c r="I58" s="514">
        <f>G58-H58</f>
        <v>0</v>
      </c>
      <c r="J58" s="552" t="str">
        <f t="shared" si="21"/>
        <v/>
      </c>
      <c r="K58" s="513">
        <f>SUM(K59:K59)</f>
        <v>0</v>
      </c>
    </row>
    <row r="59" spans="1:11" ht="12.75" customHeight="1" x14ac:dyDescent="0.25">
      <c r="A59" s="397"/>
      <c r="B59" s="169"/>
      <c r="C59" s="783"/>
      <c r="D59" s="784"/>
      <c r="E59" s="737"/>
      <c r="F59" s="737"/>
      <c r="G59" s="737"/>
      <c r="H59" s="737"/>
      <c r="I59" s="514">
        <f>G59-H59</f>
        <v>0</v>
      </c>
      <c r="J59" s="552" t="str">
        <f t="shared" si="21"/>
        <v/>
      </c>
      <c r="K59" s="738"/>
    </row>
    <row r="60" spans="1:11" ht="12.75" customHeight="1" x14ac:dyDescent="0.25">
      <c r="A60" s="397" t="str">
        <f>'SC6'!A59</f>
        <v>Other grant providers:</v>
      </c>
      <c r="B60" s="169"/>
      <c r="C60" s="516">
        <f t="shared" ref="C60:H60" si="23">SUM(C61:C61)</f>
        <v>0</v>
      </c>
      <c r="D60" s="475">
        <f t="shared" si="23"/>
        <v>0</v>
      </c>
      <c r="E60" s="430">
        <f t="shared" si="23"/>
        <v>0</v>
      </c>
      <c r="F60" s="430">
        <f t="shared" si="23"/>
        <v>0</v>
      </c>
      <c r="G60" s="430">
        <f t="shared" si="23"/>
        <v>0</v>
      </c>
      <c r="H60" s="430">
        <f t="shared" si="23"/>
        <v>0</v>
      </c>
      <c r="I60" s="514">
        <f>G60-H60</f>
        <v>0</v>
      </c>
      <c r="J60" s="552" t="str">
        <f t="shared" si="21"/>
        <v/>
      </c>
      <c r="K60" s="513">
        <f>SUM(K61:K61)</f>
        <v>0</v>
      </c>
    </row>
    <row r="61" spans="1:11" ht="12.75" customHeight="1" x14ac:dyDescent="0.25">
      <c r="A61" s="397"/>
      <c r="B61" s="169"/>
      <c r="C61" s="783"/>
      <c r="D61" s="784"/>
      <c r="E61" s="737"/>
      <c r="F61" s="737"/>
      <c r="G61" s="737"/>
      <c r="H61" s="737"/>
      <c r="I61" s="514">
        <f>G61-H61</f>
        <v>0</v>
      </c>
      <c r="J61" s="552" t="str">
        <f t="shared" si="21"/>
        <v/>
      </c>
      <c r="K61" s="738"/>
    </row>
    <row r="62" spans="1:11" ht="12.75" customHeight="1" x14ac:dyDescent="0.25">
      <c r="A62" s="557" t="s">
        <v>60</v>
      </c>
      <c r="B62" s="233"/>
      <c r="C62" s="243">
        <f t="shared" ref="C62:I62" si="24">C36+C45+C58+C60</f>
        <v>430113749</v>
      </c>
      <c r="D62" s="74">
        <f t="shared" si="24"/>
        <v>525891580.99999988</v>
      </c>
      <c r="E62" s="73">
        <f t="shared" si="24"/>
        <v>525891580.99999988</v>
      </c>
      <c r="F62" s="73">
        <f t="shared" si="24"/>
        <v>31935900.779999997</v>
      </c>
      <c r="G62" s="73">
        <f t="shared" si="24"/>
        <v>408514243.02000004</v>
      </c>
      <c r="H62" s="73">
        <f t="shared" si="24"/>
        <v>482067282.58333319</v>
      </c>
      <c r="I62" s="73">
        <f t="shared" si="24"/>
        <v>-73553039.563333154</v>
      </c>
      <c r="J62" s="304">
        <f t="shared" si="21"/>
        <v>-0.1525783686649971</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5">C33+C62</f>
        <v>1067241793</v>
      </c>
      <c r="D64" s="56">
        <f t="shared" si="25"/>
        <v>1201374821</v>
      </c>
      <c r="E64" s="55">
        <f t="shared" si="25"/>
        <v>1290372821</v>
      </c>
      <c r="F64" s="55">
        <f t="shared" si="25"/>
        <v>37300483.099999994</v>
      </c>
      <c r="G64" s="55">
        <f t="shared" si="25"/>
        <v>1153721330.99</v>
      </c>
      <c r="H64" s="55">
        <f t="shared" si="25"/>
        <v>1182841752.5833333</v>
      </c>
      <c r="I64" s="55">
        <f t="shared" si="25"/>
        <v>-29120421.593333073</v>
      </c>
      <c r="J64" s="290">
        <f>IF(I64=0,"",I64/H64)</f>
        <v>-2.4619034228149202E-2</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A33" sqref="A33"/>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6" t="str">
        <f>muni&amp; " - "&amp;S71T&amp; " - "&amp;Head57</f>
        <v>KZN225 Msunduzi - Supporting Table SC7(2) Monthly Budget Statement - Expenditure against approved rollovers - M11 May</v>
      </c>
      <c r="B1" s="1056"/>
      <c r="C1" s="1056"/>
      <c r="D1" s="1056"/>
      <c r="E1" s="1056"/>
      <c r="F1" s="1056"/>
      <c r="G1" s="1056"/>
    </row>
    <row r="2" spans="1:7" ht="21.75" customHeight="1" x14ac:dyDescent="0.25">
      <c r="A2" s="1045" t="str">
        <f>desc</f>
        <v>Description</v>
      </c>
      <c r="B2" s="1038" t="str">
        <f>head27</f>
        <v>Ref</v>
      </c>
      <c r="C2" s="1040" t="str">
        <f>Head2</f>
        <v>Budget Year 2020/21</v>
      </c>
      <c r="D2" s="1041"/>
      <c r="E2" s="1041"/>
      <c r="F2" s="1041"/>
      <c r="G2" s="1042"/>
    </row>
    <row r="3" spans="1:7" ht="39.75" customHeight="1" x14ac:dyDescent="0.25">
      <c r="A3" s="1046"/>
      <c r="B3" s="1049"/>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t="e">
        <f>'SC6'!#REF!</f>
        <v>#REF!</v>
      </c>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e">
        <f>'SC6'!#REF!</f>
        <v>#REF!</v>
      </c>
      <c r="B17" s="169"/>
      <c r="C17" s="780"/>
      <c r="D17" s="734"/>
      <c r="E17" s="734"/>
      <c r="F17" s="514">
        <f>C17-E17</f>
        <v>0</v>
      </c>
      <c r="G17" s="907" t="str">
        <f t="shared" si="0"/>
        <v/>
      </c>
    </row>
    <row r="18" spans="1:7" ht="12.75" customHeight="1" x14ac:dyDescent="0.25">
      <c r="A18" s="396" t="e">
        <f>'SC6'!#REF!</f>
        <v>#REF!</v>
      </c>
      <c r="B18" s="169"/>
      <c r="C18" s="745"/>
      <c r="D18" s="733"/>
      <c r="E18" s="733"/>
      <c r="F18" s="44">
        <f>C18-E18</f>
        <v>0</v>
      </c>
      <c r="G18" s="276" t="str">
        <f t="shared" si="0"/>
        <v/>
      </c>
    </row>
    <row r="19" spans="1:7" ht="12.75" customHeight="1" x14ac:dyDescent="0.25">
      <c r="A19" s="396" t="e">
        <f>'SC6'!#REF!</f>
        <v>#REF!</v>
      </c>
      <c r="B19" s="169"/>
      <c r="C19" s="745"/>
      <c r="D19" s="733"/>
      <c r="E19" s="733"/>
      <c r="F19" s="44">
        <f>C19-E19</f>
        <v>0</v>
      </c>
      <c r="G19" s="276" t="str">
        <f t="shared" si="0"/>
        <v/>
      </c>
    </row>
    <row r="20" spans="1:7" ht="12.75" customHeight="1" x14ac:dyDescent="0.25">
      <c r="A20" s="396" t="e">
        <f>'SC6'!#REF!</f>
        <v>#REF!</v>
      </c>
      <c r="B20" s="169"/>
      <c r="C20" s="745"/>
      <c r="D20" s="733"/>
      <c r="E20" s="733"/>
      <c r="F20" s="44">
        <f>C20-E20</f>
        <v>0</v>
      </c>
      <c r="G20" s="276" t="str">
        <f t="shared" si="0"/>
        <v/>
      </c>
    </row>
    <row r="21" spans="1:7" ht="12.75" customHeight="1" x14ac:dyDescent="0.25">
      <c r="A21" s="396" t="e">
        <f>'SC6'!#REF!</f>
        <v>#REF!</v>
      </c>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c r="B39" s="169"/>
      <c r="C39" s="784"/>
      <c r="D39" s="737"/>
      <c r="E39" s="737"/>
      <c r="F39" s="514">
        <f>C39-E39</f>
        <v>0</v>
      </c>
      <c r="G39" s="907" t="str">
        <f t="shared" si="0"/>
        <v/>
      </c>
    </row>
    <row r="40" spans="1:7" ht="12.75" customHeight="1" x14ac:dyDescent="0.25">
      <c r="A40" s="396" t="str">
        <f>'SC6'!A56</f>
        <v xml:space="preserve">Arts and Culture-Museum Subsidies - Tatham Art Gallery </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398" t="e">
        <f>'SC6'!#REF!</f>
        <v>#REF!</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5" activePane="bottomRight" state="frozen"/>
      <selection pane="topRight"/>
      <selection pane="bottomLeft"/>
      <selection pane="bottomRight" activeCell="C87" sqref="C87:C98"/>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"&amp;S71N&amp; " - "&amp;Head57</f>
        <v>KZN225 Msunduzi - Supporting Table SC8 Monthly Budget Statement - councillor and staff benefits  - M11 May</v>
      </c>
      <c r="B1" s="1056"/>
      <c r="C1" s="1056"/>
      <c r="D1" s="1056"/>
      <c r="E1" s="1056"/>
      <c r="F1" s="1056"/>
      <c r="G1" s="1056"/>
      <c r="H1" s="1056"/>
      <c r="I1" s="1056"/>
      <c r="J1" s="1056"/>
      <c r="K1" s="1056"/>
    </row>
    <row r="2" spans="1:11" x14ac:dyDescent="0.25">
      <c r="A2" s="1045" t="s">
        <v>650</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v>8876792</v>
      </c>
      <c r="D7" s="745">
        <v>15792288.894999994</v>
      </c>
      <c r="E7" s="733">
        <v>15792288.894999994</v>
      </c>
      <c r="F7" s="733">
        <v>2777554.9799999995</v>
      </c>
      <c r="G7" s="733">
        <v>32055859.039999999</v>
      </c>
      <c r="H7" s="733">
        <f>E7/12*11</f>
        <v>14476264.820416661</v>
      </c>
      <c r="I7" s="44">
        <f t="shared" ref="I7:I14" si="0">G7-H7</f>
        <v>17579594.21958334</v>
      </c>
      <c r="J7" s="330">
        <f t="shared" ref="J7:J14" si="1">IF(I7=0,"",I7/H7)</f>
        <v>1.2143736272902306</v>
      </c>
      <c r="K7" s="735">
        <f>E7</f>
        <v>15792288.894999994</v>
      </c>
    </row>
    <row r="8" spans="1:11" ht="12.75" customHeight="1" x14ac:dyDescent="0.25">
      <c r="A8" s="518" t="s">
        <v>1048</v>
      </c>
      <c r="B8" s="169"/>
      <c r="C8" s="748">
        <v>4015593</v>
      </c>
      <c r="D8" s="745">
        <v>6273530.0123999976</v>
      </c>
      <c r="E8" s="733">
        <v>6273530.0123999976</v>
      </c>
      <c r="F8" s="733">
        <v>351294.75</v>
      </c>
      <c r="G8" s="733">
        <v>4170484.3999999994</v>
      </c>
      <c r="H8" s="733">
        <f t="shared" ref="H8:H12" si="2">E8/12*11</f>
        <v>5750735.8446999984</v>
      </c>
      <c r="I8" s="44">
        <f t="shared" si="0"/>
        <v>-1580251.4446999989</v>
      </c>
      <c r="J8" s="330">
        <f t="shared" si="1"/>
        <v>-0.27479117236038458</v>
      </c>
      <c r="K8" s="735">
        <f t="shared" ref="K8:K12" si="3">E8</f>
        <v>6273530.0123999976</v>
      </c>
    </row>
    <row r="9" spans="1:11" ht="12.75" customHeight="1" x14ac:dyDescent="0.25">
      <c r="A9" s="518" t="s">
        <v>427</v>
      </c>
      <c r="B9" s="169"/>
      <c r="C9" s="748">
        <v>1690588</v>
      </c>
      <c r="D9" s="745">
        <v>10528192.964839995</v>
      </c>
      <c r="E9" s="733">
        <v>10528192.964839995</v>
      </c>
      <c r="F9" s="733">
        <v>162596.01</v>
      </c>
      <c r="G9" s="733">
        <v>1772056.6099999999</v>
      </c>
      <c r="H9" s="733">
        <f t="shared" si="2"/>
        <v>9650843.5511033274</v>
      </c>
      <c r="I9" s="44">
        <f t="shared" si="0"/>
        <v>-7878786.941103328</v>
      </c>
      <c r="J9" s="330">
        <f t="shared" si="1"/>
        <v>-0.81638324146313512</v>
      </c>
      <c r="K9" s="735">
        <f t="shared" si="3"/>
        <v>10528192.964839995</v>
      </c>
    </row>
    <row r="10" spans="1:11" ht="12.75" customHeight="1" x14ac:dyDescent="0.25">
      <c r="A10" s="518" t="s">
        <v>1049</v>
      </c>
      <c r="B10" s="169"/>
      <c r="C10" s="748">
        <v>5587712</v>
      </c>
      <c r="D10" s="745">
        <v>10528194.069359997</v>
      </c>
      <c r="E10" s="733">
        <v>10528194.069359997</v>
      </c>
      <c r="F10" s="733">
        <v>491023.59</v>
      </c>
      <c r="G10" s="733">
        <v>5832012.3600000003</v>
      </c>
      <c r="H10" s="733">
        <f t="shared" si="2"/>
        <v>9650844.563579997</v>
      </c>
      <c r="I10" s="44">
        <f>G10-H10</f>
        <v>-3818832.2035799967</v>
      </c>
      <c r="J10" s="330">
        <f>IF(I10=0,"",I10/H10)</f>
        <v>-0.39569927568736996</v>
      </c>
      <c r="K10" s="735">
        <f t="shared" si="3"/>
        <v>10528194.069359997</v>
      </c>
    </row>
    <row r="11" spans="1:11" ht="12.75" customHeight="1" x14ac:dyDescent="0.25">
      <c r="A11" s="39" t="s">
        <v>1050</v>
      </c>
      <c r="B11" s="169"/>
      <c r="C11" s="748">
        <v>2068187</v>
      </c>
      <c r="D11" s="745">
        <v>5264098.1391999982</v>
      </c>
      <c r="E11" s="733">
        <v>5264098.1391999982</v>
      </c>
      <c r="F11" s="733">
        <v>227900</v>
      </c>
      <c r="G11" s="733">
        <v>3143624.09</v>
      </c>
      <c r="H11" s="733">
        <f t="shared" si="2"/>
        <v>4825423.2942666644</v>
      </c>
      <c r="I11" s="44">
        <f>G11-H11</f>
        <v>-1681799.2042666646</v>
      </c>
      <c r="J11" s="330">
        <f>IF(I11=0,"",I11/H11)</f>
        <v>-0.34852884435338499</v>
      </c>
      <c r="K11" s="735">
        <f t="shared" si="3"/>
        <v>5264098.1391999982</v>
      </c>
    </row>
    <row r="12" spans="1:11" ht="12.75" customHeight="1" x14ac:dyDescent="0.25">
      <c r="A12" s="39" t="s">
        <v>1051</v>
      </c>
      <c r="B12" s="169"/>
      <c r="C12" s="748">
        <v>135053</v>
      </c>
      <c r="D12" s="745">
        <v>5264097.0346799986</v>
      </c>
      <c r="E12" s="733">
        <v>5264097.0346799986</v>
      </c>
      <c r="F12" s="733">
        <v>11074.34</v>
      </c>
      <c r="G12" s="733">
        <v>121817.73999999998</v>
      </c>
      <c r="H12" s="733">
        <f t="shared" si="2"/>
        <v>4825422.2817899985</v>
      </c>
      <c r="I12" s="44">
        <f>G12-H12</f>
        <v>-4703604.5417899983</v>
      </c>
      <c r="J12" s="330">
        <f>IF(I12=0,"",I12/H12)</f>
        <v>-0.97475500943001159</v>
      </c>
      <c r="K12" s="735">
        <f t="shared" si="3"/>
        <v>5264097.0346799986</v>
      </c>
    </row>
    <row r="13" spans="1:11" ht="12.75" customHeight="1" x14ac:dyDescent="0.25">
      <c r="A13" s="39" t="s">
        <v>1052</v>
      </c>
      <c r="B13" s="169"/>
      <c r="C13" s="748">
        <v>21385397</v>
      </c>
      <c r="D13" s="745"/>
      <c r="E13" s="733"/>
      <c r="F13" s="733">
        <v>7646.39</v>
      </c>
      <c r="G13" s="733">
        <v>514503.37</v>
      </c>
      <c r="H13" s="733"/>
      <c r="I13" s="44">
        <f t="shared" si="0"/>
        <v>514503.37</v>
      </c>
      <c r="J13" s="330" t="e">
        <f t="shared" si="1"/>
        <v>#DIV/0!</v>
      </c>
      <c r="K13" s="735"/>
    </row>
    <row r="14" spans="1:11" ht="12.75" customHeight="1" x14ac:dyDescent="0.25">
      <c r="A14" s="87" t="s">
        <v>428</v>
      </c>
      <c r="B14" s="169"/>
      <c r="C14" s="516">
        <f t="shared" ref="C14:K14" si="4">SUM(C7:C13)</f>
        <v>43759322</v>
      </c>
      <c r="D14" s="475">
        <f t="shared" si="4"/>
        <v>53650401.115479983</v>
      </c>
      <c r="E14" s="430">
        <f t="shared" si="4"/>
        <v>53650401.115479983</v>
      </c>
      <c r="F14" s="430">
        <f t="shared" si="4"/>
        <v>4029090.0599999991</v>
      </c>
      <c r="G14" s="430">
        <f t="shared" si="4"/>
        <v>47610357.609999999</v>
      </c>
      <c r="H14" s="430">
        <f t="shared" si="4"/>
        <v>49179534.355856642</v>
      </c>
      <c r="I14" s="430">
        <f t="shared" si="0"/>
        <v>-1569176.7458566427</v>
      </c>
      <c r="J14" s="431">
        <f t="shared" si="1"/>
        <v>-3.1907108646094251E-2</v>
      </c>
      <c r="K14" s="513">
        <f t="shared" si="4"/>
        <v>53650401.115479983</v>
      </c>
    </row>
    <row r="15" spans="1:11" ht="12.75" customHeight="1" x14ac:dyDescent="0.25">
      <c r="A15" s="565" t="s">
        <v>722</v>
      </c>
      <c r="B15" s="169">
        <v>4</v>
      </c>
      <c r="C15" s="173"/>
      <c r="D15" s="303">
        <f>IF(D14=0,"",(D14/C14)-1)</f>
        <v>0.22603364639607504</v>
      </c>
      <c r="E15" s="303">
        <f>IF(E14=0,"",(E14/C14)-1)</f>
        <v>0.22603364639607504</v>
      </c>
      <c r="F15" s="303"/>
      <c r="G15" s="303"/>
      <c r="H15" s="303"/>
      <c r="I15" s="303"/>
      <c r="J15" s="344"/>
      <c r="K15" s="312">
        <f>IF(K14=0,"",(K14/C14)-1)</f>
        <v>0.22603364639607504</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v>6259763</v>
      </c>
      <c r="D18" s="745">
        <v>10640389.780800002</v>
      </c>
      <c r="E18" s="733">
        <v>10640389.780800002</v>
      </c>
      <c r="F18" s="733">
        <v>630841.64</v>
      </c>
      <c r="G18" s="733">
        <v>11225110.449999999</v>
      </c>
      <c r="H18" s="733">
        <f t="shared" ref="H18:H20" si="5">E18/12*11</f>
        <v>9753690.6324000023</v>
      </c>
      <c r="I18" s="44">
        <f t="shared" ref="I18:I30" si="6">G18-H18</f>
        <v>1471419.8175999969</v>
      </c>
      <c r="J18" s="330">
        <f t="shared" ref="J18:J29" si="7">IF(I18=0,"",I18/H18)</f>
        <v>0.15085774944636909</v>
      </c>
      <c r="K18" s="735">
        <f t="shared" ref="K18:K25" si="8">E18</f>
        <v>10640389.780800002</v>
      </c>
    </row>
    <row r="19" spans="1:11" ht="12.75" customHeight="1" x14ac:dyDescent="0.25">
      <c r="A19" s="39" t="s">
        <v>1048</v>
      </c>
      <c r="B19" s="169"/>
      <c r="C19" s="748">
        <v>600</v>
      </c>
      <c r="D19" s="745">
        <v>1458021.1247999999</v>
      </c>
      <c r="E19" s="733">
        <v>1458021.1247999999</v>
      </c>
      <c r="F19" s="733">
        <v>2394860.54</v>
      </c>
      <c r="G19" s="733">
        <v>26551741.040000007</v>
      </c>
      <c r="H19" s="733">
        <f t="shared" si="5"/>
        <v>1336519.3643999998</v>
      </c>
      <c r="I19" s="44">
        <f t="shared" si="6"/>
        <v>25215221.675600007</v>
      </c>
      <c r="J19" s="330">
        <f t="shared" si="7"/>
        <v>18.866334710324089</v>
      </c>
      <c r="K19" s="735">
        <f t="shared" si="8"/>
        <v>1458021.1247999999</v>
      </c>
    </row>
    <row r="20" spans="1:11" ht="12.75" customHeight="1" x14ac:dyDescent="0.25">
      <c r="A20" s="39" t="s">
        <v>427</v>
      </c>
      <c r="B20" s="169"/>
      <c r="C20" s="748">
        <v>757757</v>
      </c>
      <c r="D20" s="745">
        <v>160334.42939999999</v>
      </c>
      <c r="E20" s="733">
        <v>160334.42939999999</v>
      </c>
      <c r="F20" s="733">
        <v>7965.84</v>
      </c>
      <c r="G20" s="733">
        <v>90880.420000000013</v>
      </c>
      <c r="H20" s="733">
        <f t="shared" si="5"/>
        <v>146973.22694999998</v>
      </c>
      <c r="I20" s="44">
        <f t="shared" si="6"/>
        <v>-56092.806949999969</v>
      </c>
      <c r="J20" s="330">
        <f t="shared" si="7"/>
        <v>-0.38165323109550175</v>
      </c>
      <c r="K20" s="735">
        <f t="shared" si="8"/>
        <v>160334.42939999999</v>
      </c>
    </row>
    <row r="21" spans="1:11" ht="12.75" customHeight="1" x14ac:dyDescent="0.25">
      <c r="A21" s="39" t="s">
        <v>539</v>
      </c>
      <c r="B21" s="169"/>
      <c r="C21" s="748"/>
      <c r="D21" s="745">
        <v>0</v>
      </c>
      <c r="E21" s="733"/>
      <c r="F21" s="733"/>
      <c r="G21" s="733"/>
      <c r="H21" s="733"/>
      <c r="I21" s="44">
        <f t="shared" si="6"/>
        <v>0</v>
      </c>
      <c r="J21" s="330" t="str">
        <f t="shared" si="7"/>
        <v/>
      </c>
      <c r="K21" s="735">
        <f t="shared" si="8"/>
        <v>0</v>
      </c>
    </row>
    <row r="22" spans="1:11" ht="12.75" customHeight="1" x14ac:dyDescent="0.25">
      <c r="A22" s="39" t="s">
        <v>429</v>
      </c>
      <c r="B22" s="169"/>
      <c r="C22" s="748">
        <v>640163</v>
      </c>
      <c r="D22" s="745">
        <v>665728.85879999993</v>
      </c>
      <c r="E22" s="733">
        <v>665728.85879999993</v>
      </c>
      <c r="F22" s="733">
        <v>102406.51</v>
      </c>
      <c r="G22" s="733">
        <v>1447544.1699999997</v>
      </c>
      <c r="H22" s="733">
        <f t="shared" ref="H22:H25" si="9">E22/12*11</f>
        <v>610251.45389999996</v>
      </c>
      <c r="I22" s="44">
        <f>G22-H22</f>
        <v>837292.71609999973</v>
      </c>
      <c r="J22" s="330">
        <f>IF(I22=0,"",I22/H22)</f>
        <v>1.3720454261092254</v>
      </c>
      <c r="K22" s="735">
        <f t="shared" si="8"/>
        <v>665728.85879999993</v>
      </c>
    </row>
    <row r="23" spans="1:11" ht="12.75" customHeight="1" x14ac:dyDescent="0.25">
      <c r="A23" s="39" t="s">
        <v>1049</v>
      </c>
      <c r="B23" s="169"/>
      <c r="C23" s="748">
        <v>815849</v>
      </c>
      <c r="D23" s="745">
        <v>1278372.5370000002</v>
      </c>
      <c r="E23" s="733">
        <v>1278372.5370000002</v>
      </c>
      <c r="F23" s="733">
        <v>71610.460000000006</v>
      </c>
      <c r="G23" s="733">
        <v>831685.60999999987</v>
      </c>
      <c r="H23" s="733">
        <f t="shared" si="9"/>
        <v>1171841.4922500001</v>
      </c>
      <c r="I23" s="44">
        <f>G23-H23</f>
        <v>-340155.88225000026</v>
      </c>
      <c r="J23" s="330">
        <f>IF(I23=0,"",I23/H23)</f>
        <v>-0.29027465275775671</v>
      </c>
      <c r="K23" s="735">
        <f t="shared" si="8"/>
        <v>1278372.5370000002</v>
      </c>
    </row>
    <row r="24" spans="1:11" ht="12.75" customHeight="1" x14ac:dyDescent="0.25">
      <c r="A24" s="39" t="s">
        <v>1050</v>
      </c>
      <c r="B24" s="169"/>
      <c r="C24" s="748">
        <v>88000</v>
      </c>
      <c r="D24" s="745">
        <v>111150.72719999999</v>
      </c>
      <c r="E24" s="733">
        <v>111150.72719999999</v>
      </c>
      <c r="F24" s="733">
        <v>10304</v>
      </c>
      <c r="G24" s="733">
        <v>93220</v>
      </c>
      <c r="H24" s="733">
        <f t="shared" si="9"/>
        <v>101888.16659999998</v>
      </c>
      <c r="I24" s="44">
        <f>G24-H24</f>
        <v>-8668.1665999999823</v>
      </c>
      <c r="J24" s="330">
        <f>IF(I24=0,"",I24/H24)</f>
        <v>-8.5075302552357276E-2</v>
      </c>
      <c r="K24" s="735">
        <f t="shared" si="8"/>
        <v>111150.72719999999</v>
      </c>
    </row>
    <row r="25" spans="1:11" ht="12.75" customHeight="1" x14ac:dyDescent="0.25">
      <c r="A25" s="39" t="s">
        <v>1051</v>
      </c>
      <c r="B25" s="169"/>
      <c r="C25" s="748">
        <v>261343</v>
      </c>
      <c r="D25" s="745">
        <v>756254.19959999993</v>
      </c>
      <c r="E25" s="733">
        <v>756254.19959999993</v>
      </c>
      <c r="F25" s="733">
        <v>15964.51</v>
      </c>
      <c r="G25" s="733">
        <v>175609.61</v>
      </c>
      <c r="H25" s="733">
        <f t="shared" si="9"/>
        <v>693233.01630000002</v>
      </c>
      <c r="I25" s="44">
        <f>G25-H25</f>
        <v>-517623.40630000003</v>
      </c>
      <c r="J25" s="330">
        <f>IF(I25=0,"",I25/H25)</f>
        <v>-0.74668025631946522</v>
      </c>
      <c r="K25" s="735">
        <f t="shared" si="8"/>
        <v>756254.19959999993</v>
      </c>
    </row>
    <row r="26" spans="1:11" ht="12.75" customHeight="1" x14ac:dyDescent="0.25">
      <c r="A26" s="39" t="s">
        <v>1052</v>
      </c>
      <c r="B26" s="169"/>
      <c r="C26" s="748">
        <v>72906</v>
      </c>
      <c r="D26" s="745"/>
      <c r="E26" s="733"/>
      <c r="F26" s="733"/>
      <c r="G26" s="733"/>
      <c r="H26" s="733"/>
      <c r="I26" s="44">
        <f t="shared" si="6"/>
        <v>0</v>
      </c>
      <c r="J26" s="330" t="str">
        <f t="shared" si="7"/>
        <v/>
      </c>
      <c r="K26" s="735"/>
    </row>
    <row r="27" spans="1:11" ht="12.75" customHeight="1" x14ac:dyDescent="0.25">
      <c r="A27" s="39" t="s">
        <v>1053</v>
      </c>
      <c r="B27" s="169"/>
      <c r="C27" s="748">
        <v>53553</v>
      </c>
      <c r="D27" s="745"/>
      <c r="E27" s="733"/>
      <c r="F27" s="733"/>
      <c r="G27" s="733"/>
      <c r="H27" s="733"/>
      <c r="I27" s="44">
        <f t="shared" si="6"/>
        <v>0</v>
      </c>
      <c r="J27" s="330" t="str">
        <f t="shared" si="7"/>
        <v/>
      </c>
      <c r="K27" s="735"/>
    </row>
    <row r="28" spans="1:11" ht="12.75" customHeight="1" x14ac:dyDescent="0.25">
      <c r="A28" s="39" t="s">
        <v>1054</v>
      </c>
      <c r="B28" s="169"/>
      <c r="C28" s="748"/>
      <c r="D28" s="745"/>
      <c r="E28" s="733"/>
      <c r="F28" s="733"/>
      <c r="G28" s="733"/>
      <c r="H28" s="733"/>
      <c r="I28" s="44">
        <f t="shared" si="6"/>
        <v>0</v>
      </c>
      <c r="J28" s="330" t="str">
        <f t="shared" si="7"/>
        <v/>
      </c>
      <c r="K28" s="735"/>
    </row>
    <row r="29" spans="1:11" ht="12.75" customHeight="1" x14ac:dyDescent="0.25">
      <c r="A29" s="39" t="s">
        <v>1055</v>
      </c>
      <c r="B29" s="169">
        <v>2</v>
      </c>
      <c r="C29" s="748"/>
      <c r="D29" s="745"/>
      <c r="E29" s="733"/>
      <c r="F29" s="733"/>
      <c r="G29" s="733"/>
      <c r="H29" s="733"/>
      <c r="I29" s="44">
        <f t="shared" si="6"/>
        <v>0</v>
      </c>
      <c r="J29" s="330" t="str">
        <f t="shared" si="7"/>
        <v/>
      </c>
      <c r="K29" s="735"/>
    </row>
    <row r="30" spans="1:11" ht="12.75" customHeight="1" x14ac:dyDescent="0.25">
      <c r="A30" s="87" t="s">
        <v>430</v>
      </c>
      <c r="B30" s="169"/>
      <c r="C30" s="516">
        <f t="shared" ref="C30:K30" si="10">SUM(C18:C29)</f>
        <v>8949934</v>
      </c>
      <c r="D30" s="475">
        <f t="shared" si="10"/>
        <v>15070251.657600002</v>
      </c>
      <c r="E30" s="430">
        <f t="shared" si="10"/>
        <v>15070251.657600002</v>
      </c>
      <c r="F30" s="430">
        <f>SUM(F18:F29)</f>
        <v>3233953.4999999995</v>
      </c>
      <c r="G30" s="430">
        <f>SUM(G18:G29)</f>
        <v>40415791.300000012</v>
      </c>
      <c r="H30" s="430">
        <f>SUM(H18:H29)</f>
        <v>13814397.3528</v>
      </c>
      <c r="I30" s="430">
        <f t="shared" si="6"/>
        <v>26601393.947200011</v>
      </c>
      <c r="J30" s="431">
        <f>IF(I30=0,"",I30/H30)</f>
        <v>1.9256282607078947</v>
      </c>
      <c r="K30" s="513">
        <f t="shared" si="10"/>
        <v>15070251.657600002</v>
      </c>
    </row>
    <row r="31" spans="1:11" ht="12.75" customHeight="1" x14ac:dyDescent="0.25">
      <c r="A31" s="565" t="s">
        <v>722</v>
      </c>
      <c r="B31" s="169">
        <v>4</v>
      </c>
      <c r="C31" s="173"/>
      <c r="D31" s="303">
        <f>IF(D30=0,"",(D30/C30)-1)</f>
        <v>0.68383941798900438</v>
      </c>
      <c r="E31" s="303">
        <f>IF(E30=0,"",(E30/C30)-1)</f>
        <v>0.68383941798900438</v>
      </c>
      <c r="F31" s="303"/>
      <c r="G31" s="303"/>
      <c r="H31" s="303"/>
      <c r="I31" s="303"/>
      <c r="J31" s="344"/>
      <c r="K31" s="312">
        <f>IF(K30=0,"",(K30/C30)-1)</f>
        <v>0.68383941798900438</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v>740832516.99999988</v>
      </c>
      <c r="D34" s="745">
        <v>904436295.83980572</v>
      </c>
      <c r="E34" s="733">
        <v>904436295.83980572</v>
      </c>
      <c r="F34" s="733">
        <v>52612337.740000002</v>
      </c>
      <c r="G34" s="733">
        <v>569374829.3900001</v>
      </c>
      <c r="H34" s="733">
        <f t="shared" ref="H34:H42" si="11">E34/12*11</f>
        <v>829066604.51982188</v>
      </c>
      <c r="I34" s="44">
        <f t="shared" ref="I34:I46" si="12">G34-H34</f>
        <v>-259691775.12982178</v>
      </c>
      <c r="J34" s="330">
        <f t="shared" ref="J34:J45" si="13">IF(I34=0,"",I34/H34)</f>
        <v>-0.31323391114062527</v>
      </c>
      <c r="K34" s="735">
        <f t="shared" ref="K34:K42" si="14">E34</f>
        <v>904436295.83980572</v>
      </c>
    </row>
    <row r="35" spans="1:11" ht="12.75" customHeight="1" x14ac:dyDescent="0.25">
      <c r="A35" s="518" t="s">
        <v>1048</v>
      </c>
      <c r="B35" s="169"/>
      <c r="C35" s="748">
        <v>160019109</v>
      </c>
      <c r="D35" s="745">
        <v>188647083.87682125</v>
      </c>
      <c r="E35" s="733">
        <v>188647083.87682125</v>
      </c>
      <c r="F35" s="733">
        <v>9414945.8400000036</v>
      </c>
      <c r="G35" s="733">
        <v>105097460.67999998</v>
      </c>
      <c r="H35" s="733">
        <f t="shared" si="11"/>
        <v>172926493.55375281</v>
      </c>
      <c r="I35" s="44">
        <f t="shared" si="12"/>
        <v>-67829032.873752832</v>
      </c>
      <c r="J35" s="330">
        <f t="shared" si="13"/>
        <v>-0.39224199531154386</v>
      </c>
      <c r="K35" s="735">
        <f t="shared" si="14"/>
        <v>188647083.87682125</v>
      </c>
    </row>
    <row r="36" spans="1:11" ht="12.75" customHeight="1" x14ac:dyDescent="0.25">
      <c r="A36" s="518" t="s">
        <v>427</v>
      </c>
      <c r="B36" s="169"/>
      <c r="C36" s="748">
        <v>59601206</v>
      </c>
      <c r="D36" s="745">
        <v>70300830.27188544</v>
      </c>
      <c r="E36" s="733">
        <v>70300830.27188544</v>
      </c>
      <c r="F36" s="733">
        <v>4033405.2500000019</v>
      </c>
      <c r="G36" s="733">
        <v>43725162.420000009</v>
      </c>
      <c r="H36" s="733">
        <f t="shared" si="11"/>
        <v>64442427.749228314</v>
      </c>
      <c r="I36" s="44">
        <f t="shared" si="12"/>
        <v>-20717265.329228304</v>
      </c>
      <c r="J36" s="330">
        <f t="shared" si="13"/>
        <v>-0.32148486723448111</v>
      </c>
      <c r="K36" s="735">
        <f t="shared" si="14"/>
        <v>70300830.27188544</v>
      </c>
    </row>
    <row r="37" spans="1:11" ht="12.75" customHeight="1" x14ac:dyDescent="0.25">
      <c r="A37" s="518" t="s">
        <v>539</v>
      </c>
      <c r="B37" s="169"/>
      <c r="C37" s="748">
        <v>109897994</v>
      </c>
      <c r="D37" s="745">
        <v>73644368.523901194</v>
      </c>
      <c r="E37" s="733">
        <v>73644368.523901194</v>
      </c>
      <c r="F37" s="733">
        <v>27129379.660000008</v>
      </c>
      <c r="G37" s="733">
        <v>320748979.41000009</v>
      </c>
      <c r="H37" s="733">
        <f t="shared" si="11"/>
        <v>67507337.813576102</v>
      </c>
      <c r="I37" s="44">
        <f t="shared" si="12"/>
        <v>253241641.59642398</v>
      </c>
      <c r="J37" s="330">
        <f t="shared" si="13"/>
        <v>3.7513202238215899</v>
      </c>
      <c r="K37" s="735">
        <f t="shared" si="14"/>
        <v>73644368.523901194</v>
      </c>
    </row>
    <row r="38" spans="1:11" ht="12.75" customHeight="1" x14ac:dyDescent="0.25">
      <c r="A38" s="518" t="s">
        <v>429</v>
      </c>
      <c r="B38" s="169"/>
      <c r="C38" s="748">
        <v>60827252</v>
      </c>
      <c r="D38" s="745">
        <v>70366153.174669325</v>
      </c>
      <c r="E38" s="733">
        <v>70366153.174669325</v>
      </c>
      <c r="F38" s="733">
        <v>33940.61</v>
      </c>
      <c r="G38" s="733">
        <v>51130746.409999967</v>
      </c>
      <c r="H38" s="733">
        <f t="shared" si="11"/>
        <v>64502307.076780215</v>
      </c>
      <c r="I38" s="44">
        <f t="shared" si="12"/>
        <v>-13371560.666780248</v>
      </c>
      <c r="J38" s="330">
        <f t="shared" si="13"/>
        <v>-0.20730360312327176</v>
      </c>
      <c r="K38" s="735">
        <f t="shared" si="14"/>
        <v>70366153.174669325</v>
      </c>
    </row>
    <row r="39" spans="1:11" ht="12.75" customHeight="1" x14ac:dyDescent="0.25">
      <c r="A39" s="518" t="s">
        <v>1049</v>
      </c>
      <c r="B39" s="169"/>
      <c r="C39" s="748">
        <v>26856168</v>
      </c>
      <c r="D39" s="745">
        <v>24659111.788440011</v>
      </c>
      <c r="E39" s="733">
        <v>24659111.788440011</v>
      </c>
      <c r="F39" s="733">
        <v>1875093.7299999997</v>
      </c>
      <c r="G39" s="733">
        <v>19822257.029999997</v>
      </c>
      <c r="H39" s="733">
        <f t="shared" si="11"/>
        <v>22604185.806070011</v>
      </c>
      <c r="I39" s="44">
        <f>G39-H39</f>
        <v>-2781928.7760700136</v>
      </c>
      <c r="J39" s="330">
        <f>IF(I39=0,"",I39/H39)</f>
        <v>-0.12307139925044187</v>
      </c>
      <c r="K39" s="735">
        <f t="shared" si="14"/>
        <v>24659111.788440011</v>
      </c>
    </row>
    <row r="40" spans="1:11" ht="12.75" customHeight="1" x14ac:dyDescent="0.25">
      <c r="A40" s="518" t="s">
        <v>1050</v>
      </c>
      <c r="B40" s="169"/>
      <c r="C40" s="748">
        <v>7568260</v>
      </c>
      <c r="D40" s="745">
        <v>4232876.804076002</v>
      </c>
      <c r="E40" s="733">
        <v>4232876.804076002</v>
      </c>
      <c r="F40" s="733">
        <v>263066.44</v>
      </c>
      <c r="G40" s="733">
        <v>2792436.3800000004</v>
      </c>
      <c r="H40" s="733">
        <f t="shared" si="11"/>
        <v>3880137.0704030022</v>
      </c>
      <c r="I40" s="44">
        <f>G40-H40</f>
        <v>-1087700.6904030018</v>
      </c>
      <c r="J40" s="330">
        <f>IF(I40=0,"",I40/H40)</f>
        <v>-0.28032532631380214</v>
      </c>
      <c r="K40" s="735">
        <f t="shared" si="14"/>
        <v>4232876.804076002</v>
      </c>
    </row>
    <row r="41" spans="1:11" ht="12.75" customHeight="1" x14ac:dyDescent="0.25">
      <c r="A41" s="518" t="s">
        <v>1051</v>
      </c>
      <c r="B41" s="169"/>
      <c r="C41" s="748">
        <v>4128372</v>
      </c>
      <c r="D41" s="745">
        <v>7812877.275000005</v>
      </c>
      <c r="E41" s="733">
        <v>7812877.275000005</v>
      </c>
      <c r="F41" s="733">
        <v>303820.65000000008</v>
      </c>
      <c r="G41" s="733">
        <v>3366139.9000000004</v>
      </c>
      <c r="H41" s="733">
        <f t="shared" si="11"/>
        <v>7161804.1687500048</v>
      </c>
      <c r="I41" s="44">
        <f>G41-H41</f>
        <v>-3795664.2687500045</v>
      </c>
      <c r="J41" s="330">
        <f>IF(I41=0,"",I41/H41)</f>
        <v>-0.52998716235667276</v>
      </c>
      <c r="K41" s="735">
        <f t="shared" si="14"/>
        <v>7812877.275000005</v>
      </c>
    </row>
    <row r="42" spans="1:11" ht="12.75" customHeight="1" x14ac:dyDescent="0.25">
      <c r="A42" s="518" t="s">
        <v>1052</v>
      </c>
      <c r="B42" s="169"/>
      <c r="C42" s="748">
        <v>59511537</v>
      </c>
      <c r="D42" s="745">
        <v>46854856.603799991</v>
      </c>
      <c r="E42" s="733">
        <v>46854856.603799991</v>
      </c>
      <c r="F42" s="733">
        <v>5015059.3399999989</v>
      </c>
      <c r="G42" s="733">
        <v>51981196.73999998</v>
      </c>
      <c r="H42" s="733">
        <f t="shared" si="11"/>
        <v>42950285.220149994</v>
      </c>
      <c r="I42" s="44">
        <f t="shared" si="12"/>
        <v>9030911.5198499858</v>
      </c>
      <c r="J42" s="330">
        <f t="shared" si="13"/>
        <v>0.21026429681573247</v>
      </c>
      <c r="K42" s="735">
        <f t="shared" si="14"/>
        <v>46854856.603799991</v>
      </c>
    </row>
    <row r="43" spans="1:11" ht="12.75" customHeight="1" x14ac:dyDescent="0.25">
      <c r="A43" s="518" t="s">
        <v>1053</v>
      </c>
      <c r="B43" s="169"/>
      <c r="C43" s="748">
        <v>18610702</v>
      </c>
      <c r="D43" s="745"/>
      <c r="E43" s="733"/>
      <c r="F43" s="733"/>
      <c r="G43" s="733"/>
      <c r="H43" s="733"/>
      <c r="I43" s="44">
        <f t="shared" si="12"/>
        <v>0</v>
      </c>
      <c r="J43" s="330" t="str">
        <f t="shared" si="13"/>
        <v/>
      </c>
      <c r="K43" s="735"/>
    </row>
    <row r="44" spans="1:11" ht="12.75" customHeight="1" x14ac:dyDescent="0.25">
      <c r="A44" s="518" t="s">
        <v>1054</v>
      </c>
      <c r="B44" s="169"/>
      <c r="C44" s="748">
        <v>27903119</v>
      </c>
      <c r="D44" s="745">
        <v>24172767.795784086</v>
      </c>
      <c r="E44" s="733">
        <v>24172767.795784086</v>
      </c>
      <c r="F44" s="733">
        <v>1269010.8600000001</v>
      </c>
      <c r="G44" s="733">
        <v>17395560.950000003</v>
      </c>
      <c r="H44" s="733">
        <f>E44/12*11</f>
        <v>22158370.479468748</v>
      </c>
      <c r="I44" s="44">
        <f t="shared" si="12"/>
        <v>-4762809.529468745</v>
      </c>
      <c r="J44" s="330">
        <f t="shared" si="13"/>
        <v>-0.21494403362746439</v>
      </c>
      <c r="K44" s="735">
        <f>E44</f>
        <v>24172767.795784086</v>
      </c>
    </row>
    <row r="45" spans="1:11" ht="12.75" customHeight="1" x14ac:dyDescent="0.25">
      <c r="A45" s="518" t="s">
        <v>1055</v>
      </c>
      <c r="B45" s="169">
        <v>2</v>
      </c>
      <c r="C45" s="748">
        <v>60780815</v>
      </c>
      <c r="D45" s="745"/>
      <c r="E45" s="733"/>
      <c r="F45" s="733"/>
      <c r="G45" s="733"/>
      <c r="H45" s="733"/>
      <c r="I45" s="44">
        <f t="shared" si="12"/>
        <v>0</v>
      </c>
      <c r="J45" s="330" t="str">
        <f t="shared" si="13"/>
        <v/>
      </c>
      <c r="K45" s="735"/>
    </row>
    <row r="46" spans="1:11" ht="12.75" customHeight="1" x14ac:dyDescent="0.25">
      <c r="A46" s="87" t="s">
        <v>432</v>
      </c>
      <c r="B46" s="169"/>
      <c r="C46" s="516">
        <f t="shared" ref="C46:K46" si="15">SUM(C34:C45)</f>
        <v>1336537051</v>
      </c>
      <c r="D46" s="475">
        <f t="shared" si="15"/>
        <v>1415127221.9541829</v>
      </c>
      <c r="E46" s="430">
        <f t="shared" si="15"/>
        <v>1415127221.9541829</v>
      </c>
      <c r="F46" s="430">
        <f>SUM(F34:F45)</f>
        <v>101950060.12000002</v>
      </c>
      <c r="G46" s="430">
        <f>SUM(G34:G45)</f>
        <v>1185434769.3100002</v>
      </c>
      <c r="H46" s="430">
        <f>SUM(H34:H45)</f>
        <v>1297199953.4580016</v>
      </c>
      <c r="I46" s="430">
        <f t="shared" si="12"/>
        <v>-111765184.14800143</v>
      </c>
      <c r="J46" s="431">
        <f>IF(I46=0,"",I46/H46)</f>
        <v>-8.6158794448044945E-2</v>
      </c>
      <c r="K46" s="513">
        <f t="shared" si="15"/>
        <v>1415127221.9541829</v>
      </c>
    </row>
    <row r="47" spans="1:11" ht="12.75" customHeight="1" x14ac:dyDescent="0.25">
      <c r="A47" s="565" t="s">
        <v>722</v>
      </c>
      <c r="B47" s="169">
        <v>4</v>
      </c>
      <c r="C47" s="399"/>
      <c r="D47" s="303">
        <f>IF(D46=0,"",(D46/C46)-1)</f>
        <v>5.8801341044291577E-2</v>
      </c>
      <c r="E47" s="303">
        <f>IF(E46=0,"",(E46/C46)-1)</f>
        <v>5.8801341044291577E-2</v>
      </c>
      <c r="F47" s="303"/>
      <c r="G47" s="303"/>
      <c r="H47" s="303"/>
      <c r="I47" s="401"/>
      <c r="J47" s="403"/>
      <c r="K47" s="312">
        <f>IF(K46=0,"",(K46/C46)-1)</f>
        <v>5.8801341044291577E-2</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1389246307</v>
      </c>
      <c r="D49" s="74">
        <f t="shared" ref="D49:K49" si="16">D14+D30+D46</f>
        <v>1483847874.727263</v>
      </c>
      <c r="E49" s="73">
        <f t="shared" si="16"/>
        <v>1483847874.727263</v>
      </c>
      <c r="F49" s="73">
        <f t="shared" si="16"/>
        <v>109213103.68000002</v>
      </c>
      <c r="G49" s="73">
        <f t="shared" si="16"/>
        <v>1273460918.2200003</v>
      </c>
      <c r="H49" s="73">
        <f t="shared" si="16"/>
        <v>1360193885.1666582</v>
      </c>
      <c r="I49" s="73">
        <f>G49-H49</f>
        <v>-86732966.946657896</v>
      </c>
      <c r="J49" s="331">
        <f>IF(I49=0,"",I49/H49)</f>
        <v>-6.3765149874961333E-2</v>
      </c>
      <c r="K49" s="145">
        <f t="shared" si="16"/>
        <v>1483847874.727263</v>
      </c>
    </row>
    <row r="50" spans="1:11" ht="5.0999999999999996" customHeight="1" x14ac:dyDescent="0.25">
      <c r="A50" s="42"/>
      <c r="B50" s="169"/>
      <c r="C50" s="173"/>
      <c r="D50" s="303">
        <f>IF(D49=0,"",(D49/C49)-1)</f>
        <v>6.8095604969826917E-2</v>
      </c>
      <c r="E50" s="303">
        <f>IF(E49=0,"",(E49/C49)-1)</f>
        <v>6.8095604969826917E-2</v>
      </c>
      <c r="F50" s="303"/>
      <c r="G50" s="303"/>
      <c r="H50" s="303"/>
      <c r="I50" s="303"/>
      <c r="J50" s="344"/>
      <c r="K50" s="312">
        <f>IF(K49=0,"",(K49/C49)-1)</f>
        <v>6.8095604969826917E-2</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c r="G54" s="733">
        <v>157878.28</v>
      </c>
      <c r="H54" s="733"/>
      <c r="I54" s="44">
        <f t="shared" ref="I54:I67" si="17">G54-H54</f>
        <v>157878.28</v>
      </c>
      <c r="J54" s="330" t="e">
        <f t="shared" ref="J54:J66" si="18">IF(I54=0,"",I54/H54)</f>
        <v>#DIV/0!</v>
      </c>
      <c r="K54" s="735"/>
    </row>
    <row r="55" spans="1:11" ht="12.75" customHeight="1" x14ac:dyDescent="0.25">
      <c r="A55" s="39" t="s">
        <v>1048</v>
      </c>
      <c r="B55" s="169"/>
      <c r="C55" s="748"/>
      <c r="D55" s="745"/>
      <c r="E55" s="733"/>
      <c r="F55" s="733"/>
      <c r="G55" s="733"/>
      <c r="H55" s="733"/>
      <c r="I55" s="44">
        <f t="shared" si="17"/>
        <v>0</v>
      </c>
      <c r="J55" s="330" t="str">
        <f t="shared" si="18"/>
        <v/>
      </c>
      <c r="K55" s="735"/>
    </row>
    <row r="56" spans="1:11" ht="12.75" customHeight="1" x14ac:dyDescent="0.25">
      <c r="A56" s="39" t="s">
        <v>427</v>
      </c>
      <c r="B56" s="169"/>
      <c r="C56" s="748"/>
      <c r="D56" s="745"/>
      <c r="E56" s="733"/>
      <c r="F56" s="733"/>
      <c r="G56" s="733"/>
      <c r="H56" s="733"/>
      <c r="I56" s="44">
        <f t="shared" si="17"/>
        <v>0</v>
      </c>
      <c r="J56" s="330" t="str">
        <f t="shared" si="18"/>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7"/>
        <v>0</v>
      </c>
      <c r="J62" s="330" t="str">
        <f t="shared" si="18"/>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7"/>
        <v>0</v>
      </c>
      <c r="J64" s="330" t="str">
        <f t="shared" si="18"/>
        <v/>
      </c>
      <c r="K64" s="735"/>
    </row>
    <row r="65" spans="1:11" ht="12.75" customHeight="1" x14ac:dyDescent="0.25">
      <c r="A65" s="39" t="s">
        <v>1054</v>
      </c>
      <c r="B65" s="169"/>
      <c r="C65" s="748"/>
      <c r="D65" s="745"/>
      <c r="E65" s="733"/>
      <c r="F65" s="733"/>
      <c r="G65" s="733"/>
      <c r="H65" s="733"/>
      <c r="I65" s="44">
        <f t="shared" si="17"/>
        <v>0</v>
      </c>
      <c r="J65" s="330" t="str">
        <f t="shared" si="18"/>
        <v/>
      </c>
      <c r="K65" s="735"/>
    </row>
    <row r="66" spans="1:11" ht="12.75" customHeight="1" x14ac:dyDescent="0.25">
      <c r="A66" s="39" t="s">
        <v>1055</v>
      </c>
      <c r="B66" s="169"/>
      <c r="C66" s="748"/>
      <c r="D66" s="745"/>
      <c r="E66" s="733"/>
      <c r="F66" s="733"/>
      <c r="G66" s="733"/>
      <c r="H66" s="733"/>
      <c r="I66" s="44">
        <f t="shared" si="17"/>
        <v>0</v>
      </c>
      <c r="J66" s="330" t="str">
        <f t="shared" si="18"/>
        <v/>
      </c>
      <c r="K66" s="735"/>
    </row>
    <row r="67" spans="1:11" ht="12.75" customHeight="1" x14ac:dyDescent="0.25">
      <c r="A67" s="87" t="s">
        <v>770</v>
      </c>
      <c r="B67" s="169">
        <v>2</v>
      </c>
      <c r="C67" s="516">
        <f t="shared" ref="C67:K67" si="19">SUM(C54:C66)</f>
        <v>0</v>
      </c>
      <c r="D67" s="475">
        <f t="shared" si="19"/>
        <v>0</v>
      </c>
      <c r="E67" s="430">
        <f t="shared" si="19"/>
        <v>0</v>
      </c>
      <c r="F67" s="430">
        <f>SUM(F54:F66)</f>
        <v>0</v>
      </c>
      <c r="G67" s="430">
        <f>SUM(G54:G66)</f>
        <v>157878.28</v>
      </c>
      <c r="H67" s="430">
        <f>SUM(H54:H66)</f>
        <v>0</v>
      </c>
      <c r="I67" s="430">
        <f t="shared" si="17"/>
        <v>157878.28</v>
      </c>
      <c r="J67" s="431" t="e">
        <f>IF(I67=0,"",I67/H67)</f>
        <v>#DIV/0!</v>
      </c>
      <c r="K67" s="513">
        <f t="shared" si="19"/>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v>582641.17447499989</v>
      </c>
      <c r="E71" s="733">
        <v>582641.17447499989</v>
      </c>
      <c r="F71" s="733">
        <v>56988.05</v>
      </c>
      <c r="G71" s="733">
        <v>636548.42000000004</v>
      </c>
      <c r="H71" s="733">
        <f>E71/12*11</f>
        <v>534087.74326874991</v>
      </c>
      <c r="I71" s="44">
        <f t="shared" ref="I71:I83" si="20">G71-H71</f>
        <v>102460.67673125013</v>
      </c>
      <c r="J71" s="330">
        <f t="shared" ref="J71:J82" si="21">IF(I71=0,"",I71/H71)</f>
        <v>0.19184240421651561</v>
      </c>
      <c r="K71" s="735">
        <f>E71</f>
        <v>582641.17447499989</v>
      </c>
    </row>
    <row r="72" spans="1:11" ht="12.75" customHeight="1" x14ac:dyDescent="0.25">
      <c r="A72" s="518" t="s">
        <v>1048</v>
      </c>
      <c r="B72" s="169"/>
      <c r="C72" s="748"/>
      <c r="D72" s="745"/>
      <c r="E72" s="733"/>
      <c r="F72" s="733"/>
      <c r="G72" s="733"/>
      <c r="H72" s="733"/>
      <c r="I72" s="44">
        <f t="shared" si="20"/>
        <v>0</v>
      </c>
      <c r="J72" s="330" t="str">
        <f t="shared" si="21"/>
        <v/>
      </c>
      <c r="K72" s="735"/>
    </row>
    <row r="73" spans="1:11" ht="12.75" customHeight="1" x14ac:dyDescent="0.25">
      <c r="A73" s="518" t="s">
        <v>427</v>
      </c>
      <c r="B73" s="169"/>
      <c r="C73" s="748"/>
      <c r="D73" s="745">
        <v>27003.628799999999</v>
      </c>
      <c r="E73" s="733">
        <v>27003.628799999999</v>
      </c>
      <c r="F73" s="733">
        <v>2254</v>
      </c>
      <c r="G73" s="733">
        <v>24794</v>
      </c>
      <c r="H73" s="733">
        <f>E73/12*11</f>
        <v>24753.326400000002</v>
      </c>
      <c r="I73" s="44">
        <f t="shared" si="20"/>
        <v>40.67359999999826</v>
      </c>
      <c r="J73" s="330">
        <f t="shared" si="21"/>
        <v>1.6431569374853092E-3</v>
      </c>
      <c r="K73" s="735">
        <f>E73</f>
        <v>27003.628799999999</v>
      </c>
    </row>
    <row r="74" spans="1:11" ht="12.75" customHeight="1" x14ac:dyDescent="0.25">
      <c r="A74" s="518" t="s">
        <v>539</v>
      </c>
      <c r="B74" s="169"/>
      <c r="C74" s="748"/>
      <c r="D74" s="745"/>
      <c r="E74" s="733"/>
      <c r="F74" s="733"/>
      <c r="G74" s="733"/>
      <c r="H74" s="733"/>
      <c r="I74" s="44">
        <f t="shared" si="20"/>
        <v>0</v>
      </c>
      <c r="J74" s="330" t="str">
        <f t="shared" si="21"/>
        <v/>
      </c>
      <c r="K74" s="735"/>
    </row>
    <row r="75" spans="1:11" ht="12.75" customHeight="1" x14ac:dyDescent="0.25">
      <c r="A75" s="518" t="s">
        <v>429</v>
      </c>
      <c r="B75" s="169"/>
      <c r="C75" s="748"/>
      <c r="D75" s="745">
        <v>62095.416074999994</v>
      </c>
      <c r="E75" s="733">
        <v>62095.416074999994</v>
      </c>
      <c r="F75" s="733"/>
      <c r="G75" s="733"/>
      <c r="H75" s="733">
        <f t="shared" ref="H75:H77" si="22">E75/12*11</f>
        <v>56920.798068749995</v>
      </c>
      <c r="I75" s="44">
        <f>G75-H75</f>
        <v>-56920.798068749995</v>
      </c>
      <c r="J75" s="330">
        <f>IF(I75=0,"",I75/H75)</f>
        <v>-1</v>
      </c>
      <c r="K75" s="735">
        <f t="shared" ref="K75:K77" si="23">E75</f>
        <v>62095.416074999994</v>
      </c>
    </row>
    <row r="76" spans="1:11" ht="12.75" customHeight="1" x14ac:dyDescent="0.25">
      <c r="A76" s="518" t="s">
        <v>1049</v>
      </c>
      <c r="B76" s="169"/>
      <c r="C76" s="748"/>
      <c r="D76" s="745">
        <v>24952.949999999997</v>
      </c>
      <c r="E76" s="733">
        <v>24952.949999999997</v>
      </c>
      <c r="F76" s="733">
        <v>2500</v>
      </c>
      <c r="G76" s="733">
        <v>27500</v>
      </c>
      <c r="H76" s="733">
        <f t="shared" si="22"/>
        <v>22873.537499999999</v>
      </c>
      <c r="I76" s="44">
        <f>G76-H76</f>
        <v>4626.4625000000015</v>
      </c>
      <c r="J76" s="330">
        <f>IF(I76=0,"",I76/H76)</f>
        <v>0.20226265832296389</v>
      </c>
      <c r="K76" s="735">
        <f t="shared" si="23"/>
        <v>24952.949999999997</v>
      </c>
    </row>
    <row r="77" spans="1:11" ht="12.75" customHeight="1" x14ac:dyDescent="0.25">
      <c r="A77" s="518" t="s">
        <v>1050</v>
      </c>
      <c r="B77" s="169"/>
      <c r="C77" s="748"/>
      <c r="D77" s="745">
        <v>8166.4199999999992</v>
      </c>
      <c r="E77" s="733">
        <v>8166.4199999999992</v>
      </c>
      <c r="F77" s="733">
        <v>800</v>
      </c>
      <c r="G77" s="733">
        <v>7200</v>
      </c>
      <c r="H77" s="733">
        <f t="shared" si="22"/>
        <v>7485.8849999999993</v>
      </c>
      <c r="I77" s="44">
        <f>G77-H77</f>
        <v>-285.88499999999931</v>
      </c>
      <c r="J77" s="330">
        <f>IF(I77=0,"",I77/H77)</f>
        <v>-3.8189873341628856E-2</v>
      </c>
      <c r="K77" s="735">
        <f t="shared" si="23"/>
        <v>8166.4199999999992</v>
      </c>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20"/>
        <v>0</v>
      </c>
      <c r="J79" s="330" t="str">
        <f t="shared" si="21"/>
        <v/>
      </c>
      <c r="K79" s="735"/>
    </row>
    <row r="80" spans="1:11" ht="12.75" customHeight="1" x14ac:dyDescent="0.25">
      <c r="A80" s="518" t="s">
        <v>1053</v>
      </c>
      <c r="B80" s="169"/>
      <c r="C80" s="748"/>
      <c r="D80" s="745"/>
      <c r="E80" s="733"/>
      <c r="F80" s="733"/>
      <c r="G80" s="733"/>
      <c r="H80" s="733"/>
      <c r="I80" s="44">
        <f t="shared" si="20"/>
        <v>0</v>
      </c>
      <c r="J80" s="330" t="str">
        <f t="shared" si="21"/>
        <v/>
      </c>
      <c r="K80" s="735"/>
    </row>
    <row r="81" spans="1:11" ht="12.75" customHeight="1" x14ac:dyDescent="0.25">
      <c r="A81" s="518" t="s">
        <v>1054</v>
      </c>
      <c r="B81" s="169"/>
      <c r="C81" s="748"/>
      <c r="D81" s="745"/>
      <c r="E81" s="733"/>
      <c r="F81" s="733"/>
      <c r="G81" s="733"/>
      <c r="H81" s="733"/>
      <c r="I81" s="44">
        <f t="shared" si="20"/>
        <v>0</v>
      </c>
      <c r="J81" s="330" t="str">
        <f t="shared" si="21"/>
        <v/>
      </c>
      <c r="K81" s="735"/>
    </row>
    <row r="82" spans="1:11" ht="12.75" customHeight="1" x14ac:dyDescent="0.25">
      <c r="A82" s="518" t="s">
        <v>1055</v>
      </c>
      <c r="B82" s="169">
        <v>2</v>
      </c>
      <c r="C82" s="748"/>
      <c r="D82" s="745"/>
      <c r="E82" s="733"/>
      <c r="F82" s="733"/>
      <c r="G82" s="733"/>
      <c r="H82" s="733"/>
      <c r="I82" s="44">
        <f t="shared" si="20"/>
        <v>0</v>
      </c>
      <c r="J82" s="330" t="str">
        <f t="shared" si="21"/>
        <v/>
      </c>
      <c r="K82" s="735"/>
    </row>
    <row r="83" spans="1:11" ht="12.75" customHeight="1" x14ac:dyDescent="0.25">
      <c r="A83" s="87" t="s">
        <v>831</v>
      </c>
      <c r="B83" s="169"/>
      <c r="C83" s="516">
        <f t="shared" ref="C83:K83" si="24">SUM(C71:C82)</f>
        <v>0</v>
      </c>
      <c r="D83" s="475">
        <f t="shared" si="24"/>
        <v>704859.58934999979</v>
      </c>
      <c r="E83" s="430">
        <f t="shared" si="24"/>
        <v>704859.58934999979</v>
      </c>
      <c r="F83" s="430">
        <f>SUM(F71:F82)</f>
        <v>62542.05</v>
      </c>
      <c r="G83" s="430">
        <f>SUM(G71:G82)</f>
        <v>696042.42</v>
      </c>
      <c r="H83" s="430">
        <f>SUM(H71:H82)</f>
        <v>646121.29023749987</v>
      </c>
      <c r="I83" s="430">
        <f t="shared" si="20"/>
        <v>49921.129762500175</v>
      </c>
      <c r="J83" s="431">
        <f>IF(I83=0,"",I83/H83)</f>
        <v>7.7262784119294811E-2</v>
      </c>
      <c r="K83" s="513">
        <f t="shared" si="24"/>
        <v>704859.58934999979</v>
      </c>
    </row>
    <row r="84" spans="1:11" ht="12.75" customHeight="1" x14ac:dyDescent="0.25">
      <c r="A84" s="565" t="s">
        <v>722</v>
      </c>
      <c r="B84" s="169">
        <v>4</v>
      </c>
      <c r="C84" s="173"/>
      <c r="D84" s="303" t="e">
        <f>IF(D83=0,"",(D83/C83)-1)</f>
        <v>#DIV/0!</v>
      </c>
      <c r="E84" s="303" t="e">
        <f>IF(E83=0,"",(E83/C83)-1)</f>
        <v>#DIV/0!</v>
      </c>
      <c r="F84" s="303"/>
      <c r="G84" s="303"/>
      <c r="H84" s="303"/>
      <c r="I84" s="303"/>
      <c r="J84" s="344"/>
      <c r="K84" s="312" t="e">
        <f>IF(K83=0,"",(K83/C83)-1)</f>
        <v>#DIV/0!</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v>5657191.3799999999</v>
      </c>
      <c r="D87" s="745">
        <v>6769587.5498149209</v>
      </c>
      <c r="E87" s="733">
        <v>6769587.5498149209</v>
      </c>
      <c r="F87" s="733">
        <v>607056.18000000005</v>
      </c>
      <c r="G87" s="733">
        <v>5914668.2800000003</v>
      </c>
      <c r="H87" s="733">
        <f t="shared" ref="H87:H93" si="25">E87/12*11</f>
        <v>6205455.2539970111</v>
      </c>
      <c r="I87" s="44">
        <f t="shared" ref="I87:I99" si="26">G87-H87</f>
        <v>-290786.97399701085</v>
      </c>
      <c r="J87" s="330">
        <f t="shared" ref="J87:J98" si="27">IF(I87=0,"",I87/H87)</f>
        <v>-4.6859893770035861E-2</v>
      </c>
      <c r="K87" s="735">
        <f t="shared" ref="K87:K95" si="28">E87</f>
        <v>6769587.5498149209</v>
      </c>
    </row>
    <row r="88" spans="1:11" ht="12.75" customHeight="1" x14ac:dyDescent="0.25">
      <c r="A88" s="518" t="s">
        <v>1048</v>
      </c>
      <c r="B88" s="169"/>
      <c r="C88" s="748">
        <v>477072.08</v>
      </c>
      <c r="D88" s="745">
        <v>570880.67137872009</v>
      </c>
      <c r="E88" s="733">
        <v>570880.67137872009</v>
      </c>
      <c r="F88" s="733">
        <v>44814.28</v>
      </c>
      <c r="G88" s="733">
        <v>409650.04</v>
      </c>
      <c r="H88" s="733">
        <f t="shared" si="25"/>
        <v>523307.28209716006</v>
      </c>
      <c r="I88" s="44">
        <f t="shared" si="26"/>
        <v>-113657.24209716008</v>
      </c>
      <c r="J88" s="330">
        <f t="shared" si="27"/>
        <v>-0.21719025510533191</v>
      </c>
      <c r="K88" s="735">
        <f t="shared" si="28"/>
        <v>570880.67137872009</v>
      </c>
    </row>
    <row r="89" spans="1:11" ht="12.75" customHeight="1" x14ac:dyDescent="0.25">
      <c r="A89" s="518" t="s">
        <v>427</v>
      </c>
      <c r="B89" s="169"/>
      <c r="C89" s="748">
        <v>743763.84000000008</v>
      </c>
      <c r="D89" s="745">
        <v>890013.09891456028</v>
      </c>
      <c r="E89" s="733">
        <v>890013.09891456028</v>
      </c>
      <c r="F89" s="733">
        <v>76408.52</v>
      </c>
      <c r="G89" s="733">
        <v>738406.64</v>
      </c>
      <c r="H89" s="733">
        <f t="shared" si="25"/>
        <v>815845.34067168029</v>
      </c>
      <c r="I89" s="44">
        <f>G89-H89</f>
        <v>-77438.700671680272</v>
      </c>
      <c r="J89" s="330">
        <f>IF(I89=0,"",I89/H89)</f>
        <v>-9.4918358678037537E-2</v>
      </c>
      <c r="K89" s="735">
        <f t="shared" si="28"/>
        <v>890013.09891456028</v>
      </c>
    </row>
    <row r="90" spans="1:11" ht="12.75" customHeight="1" x14ac:dyDescent="0.25">
      <c r="A90" s="518" t="s">
        <v>539</v>
      </c>
      <c r="B90" s="169"/>
      <c r="C90" s="748">
        <v>891958.20000000007</v>
      </c>
      <c r="D90" s="745">
        <v>1067347.5086988001</v>
      </c>
      <c r="E90" s="733">
        <v>1067347.5086988001</v>
      </c>
      <c r="F90" s="733">
        <v>34059.879999999997</v>
      </c>
      <c r="G90" s="733">
        <v>737616.16</v>
      </c>
      <c r="H90" s="733">
        <f t="shared" si="25"/>
        <v>978401.88297390006</v>
      </c>
      <c r="I90" s="44">
        <f>G90-H90</f>
        <v>-240785.72297390003</v>
      </c>
      <c r="J90" s="330">
        <f>IF(I90=0,"",I90/H90)</f>
        <v>-0.24610104208101086</v>
      </c>
      <c r="K90" s="735">
        <f t="shared" si="28"/>
        <v>1067347.5086988001</v>
      </c>
    </row>
    <row r="91" spans="1:11" ht="12.75" customHeight="1" x14ac:dyDescent="0.25">
      <c r="A91" s="518" t="s">
        <v>429</v>
      </c>
      <c r="B91" s="169"/>
      <c r="C91" s="748">
        <v>577347.02</v>
      </c>
      <c r="D91" s="745">
        <v>690873.07393068005</v>
      </c>
      <c r="E91" s="733">
        <v>690873.07393068005</v>
      </c>
      <c r="F91" s="733"/>
      <c r="G91" s="733"/>
      <c r="H91" s="733">
        <f t="shared" si="25"/>
        <v>633300.31776979007</v>
      </c>
      <c r="I91" s="44">
        <f>G91-H91</f>
        <v>-633300.31776979007</v>
      </c>
      <c r="J91" s="330">
        <f>IF(I91=0,"",I91/H91)</f>
        <v>-1</v>
      </c>
      <c r="K91" s="735">
        <f t="shared" si="28"/>
        <v>690873.07393068005</v>
      </c>
    </row>
    <row r="92" spans="1:11" ht="12.75" customHeight="1" x14ac:dyDescent="0.25">
      <c r="A92" s="518" t="s">
        <v>1049</v>
      </c>
      <c r="B92" s="169"/>
      <c r="C92" s="748">
        <v>163240</v>
      </c>
      <c r="D92" s="745">
        <v>195338.53416000001</v>
      </c>
      <c r="E92" s="733">
        <v>195338.53416000001</v>
      </c>
      <c r="F92" s="733">
        <v>8500</v>
      </c>
      <c r="G92" s="733">
        <v>90500</v>
      </c>
      <c r="H92" s="733">
        <f t="shared" si="25"/>
        <v>179060.32298</v>
      </c>
      <c r="I92" s="44">
        <f>G92-H92</f>
        <v>-88560.322979999997</v>
      </c>
      <c r="J92" s="330">
        <f>IF(I92=0,"",I92/H92)</f>
        <v>-0.49458373304672121</v>
      </c>
      <c r="K92" s="735">
        <f t="shared" si="28"/>
        <v>195338.53416000001</v>
      </c>
    </row>
    <row r="93" spans="1:11" ht="12.75" customHeight="1" x14ac:dyDescent="0.25">
      <c r="A93" s="518" t="s">
        <v>1050</v>
      </c>
      <c r="B93" s="169"/>
      <c r="C93" s="748">
        <v>77486</v>
      </c>
      <c r="D93" s="745">
        <v>92722.382124000011</v>
      </c>
      <c r="E93" s="733">
        <v>92722.382124000011</v>
      </c>
      <c r="F93" s="733">
        <v>6100</v>
      </c>
      <c r="G93" s="733">
        <v>54700</v>
      </c>
      <c r="H93" s="733">
        <f t="shared" si="25"/>
        <v>84995.516947000011</v>
      </c>
      <c r="I93" s="44">
        <f t="shared" si="26"/>
        <v>-30295.516947000011</v>
      </c>
      <c r="J93" s="330">
        <f t="shared" si="27"/>
        <v>-0.35643664554556626</v>
      </c>
      <c r="K93" s="735">
        <f t="shared" si="28"/>
        <v>92722.382124000011</v>
      </c>
    </row>
    <row r="94" spans="1:11" ht="12.75" customHeight="1" x14ac:dyDescent="0.25">
      <c r="A94" s="518" t="s">
        <v>1051</v>
      </c>
      <c r="B94" s="169"/>
      <c r="C94" s="748">
        <v>0</v>
      </c>
      <c r="D94" s="745"/>
      <c r="E94" s="733"/>
      <c r="F94" s="733">
        <v>0</v>
      </c>
      <c r="G94" s="733">
        <v>0</v>
      </c>
      <c r="H94" s="733"/>
      <c r="I94" s="44">
        <f t="shared" si="26"/>
        <v>0</v>
      </c>
      <c r="J94" s="330" t="str">
        <f t="shared" si="27"/>
        <v/>
      </c>
      <c r="K94" s="735"/>
    </row>
    <row r="95" spans="1:11" ht="12.75" customHeight="1" x14ac:dyDescent="0.25">
      <c r="A95" s="518" t="s">
        <v>1052</v>
      </c>
      <c r="B95" s="169"/>
      <c r="C95" s="748">
        <v>0</v>
      </c>
      <c r="D95" s="745">
        <v>84982.409815920022</v>
      </c>
      <c r="E95" s="733">
        <v>84982.409815920022</v>
      </c>
      <c r="F95" s="733">
        <v>32844.47</v>
      </c>
      <c r="G95" s="733">
        <v>32844.47</v>
      </c>
      <c r="H95" s="733">
        <f>E95/12*11</f>
        <v>77900.542331260018</v>
      </c>
      <c r="I95" s="44">
        <f t="shared" si="26"/>
        <v>-45056.072331260017</v>
      </c>
      <c r="J95" s="330">
        <f t="shared" si="27"/>
        <v>-0.57837944362012306</v>
      </c>
      <c r="K95" s="735">
        <f t="shared" si="28"/>
        <v>84982.409815920022</v>
      </c>
    </row>
    <row r="96" spans="1:11" ht="12.75" customHeight="1" x14ac:dyDescent="0.25">
      <c r="A96" s="518" t="s">
        <v>1053</v>
      </c>
      <c r="B96" s="169"/>
      <c r="C96" s="748">
        <v>71017.88</v>
      </c>
      <c r="D96" s="745"/>
      <c r="E96" s="733"/>
      <c r="F96" s="733"/>
      <c r="G96" s="733"/>
      <c r="H96" s="733"/>
      <c r="I96" s="44">
        <f t="shared" si="26"/>
        <v>0</v>
      </c>
      <c r="J96" s="330" t="str">
        <f t="shared" si="27"/>
        <v/>
      </c>
      <c r="K96" s="735"/>
    </row>
    <row r="97" spans="1:14" ht="12.75" customHeight="1" x14ac:dyDescent="0.25">
      <c r="A97" s="518" t="s">
        <v>1054</v>
      </c>
      <c r="B97" s="169"/>
      <c r="C97" s="748"/>
      <c r="D97" s="745"/>
      <c r="E97" s="733"/>
      <c r="F97" s="733"/>
      <c r="G97" s="733"/>
      <c r="H97" s="733"/>
      <c r="I97" s="44">
        <f t="shared" si="26"/>
        <v>0</v>
      </c>
      <c r="J97" s="330" t="str">
        <f t="shared" si="27"/>
        <v/>
      </c>
      <c r="K97" s="735"/>
    </row>
    <row r="98" spans="1:14" ht="12.75" customHeight="1" x14ac:dyDescent="0.25">
      <c r="A98" s="518" t="s">
        <v>1055</v>
      </c>
      <c r="B98" s="169"/>
      <c r="C98" s="748"/>
      <c r="D98" s="745"/>
      <c r="E98" s="733"/>
      <c r="F98" s="733"/>
      <c r="G98" s="733"/>
      <c r="H98" s="733"/>
      <c r="I98" s="44">
        <f t="shared" si="26"/>
        <v>0</v>
      </c>
      <c r="J98" s="330" t="str">
        <f t="shared" si="27"/>
        <v/>
      </c>
      <c r="K98" s="735"/>
    </row>
    <row r="99" spans="1:14" ht="12.75" customHeight="1" x14ac:dyDescent="0.25">
      <c r="A99" s="87" t="s">
        <v>510</v>
      </c>
      <c r="B99" s="169"/>
      <c r="C99" s="516">
        <f t="shared" ref="C99:H99" si="29">SUM(C87:C98)</f>
        <v>8659076.4000000004</v>
      </c>
      <c r="D99" s="475">
        <f t="shared" si="29"/>
        <v>10361745.228837602</v>
      </c>
      <c r="E99" s="430">
        <f t="shared" si="29"/>
        <v>10361745.228837602</v>
      </c>
      <c r="F99" s="430">
        <f t="shared" si="29"/>
        <v>809783.33000000007</v>
      </c>
      <c r="G99" s="430">
        <f t="shared" si="29"/>
        <v>7978385.5899999999</v>
      </c>
      <c r="H99" s="430">
        <f t="shared" si="29"/>
        <v>9498266.4597677998</v>
      </c>
      <c r="I99" s="430">
        <f t="shared" si="26"/>
        <v>-1519880.8697678</v>
      </c>
      <c r="J99" s="431">
        <f>IF(I99=0,"",I99/H99)</f>
        <v>-0.16001665948261426</v>
      </c>
      <c r="K99" s="513">
        <f>SUM(K87:K98)</f>
        <v>10361745.228837602</v>
      </c>
    </row>
    <row r="100" spans="1:14" ht="12.75" customHeight="1" x14ac:dyDescent="0.25">
      <c r="A100" s="565" t="s">
        <v>722</v>
      </c>
      <c r="B100" s="169">
        <v>4</v>
      </c>
      <c r="C100" s="399"/>
      <c r="D100" s="303">
        <f>IF(D99=0,"",(D99/C99)-1)</f>
        <v>0.1966340000000002</v>
      </c>
      <c r="E100" s="303">
        <f>IF(E99=0,"",(E99/C99)-1)</f>
        <v>0.1966340000000002</v>
      </c>
      <c r="F100" s="303"/>
      <c r="G100" s="303"/>
      <c r="H100" s="303"/>
      <c r="I100" s="401"/>
      <c r="J100" s="403"/>
      <c r="K100" s="312">
        <f>IF(K99=0,"",(K99/C99)-1)</f>
        <v>0.1966340000000002</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30">C67+C83+C99</f>
        <v>8659076.4000000004</v>
      </c>
      <c r="D102" s="475">
        <f t="shared" si="30"/>
        <v>11066604.818187602</v>
      </c>
      <c r="E102" s="430">
        <f t="shared" si="30"/>
        <v>11066604.818187602</v>
      </c>
      <c r="F102" s="430">
        <f t="shared" si="30"/>
        <v>872325.38000000012</v>
      </c>
      <c r="G102" s="430">
        <f t="shared" si="30"/>
        <v>8832306.2899999991</v>
      </c>
      <c r="H102" s="430">
        <f t="shared" si="30"/>
        <v>10144387.750005299</v>
      </c>
      <c r="I102" s="430">
        <f>G102-H102</f>
        <v>-1312081.4600053001</v>
      </c>
      <c r="J102" s="431">
        <f>IF(I102=0,"",I102/H102)</f>
        <v>-0.12934062580608818</v>
      </c>
      <c r="K102" s="513">
        <f>K67+K83+K99</f>
        <v>11066604.818187602</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31">C49+C102</f>
        <v>1397905383.4000001</v>
      </c>
      <c r="D104" s="56">
        <f t="shared" si="31"/>
        <v>1494914479.5454507</v>
      </c>
      <c r="E104" s="55">
        <f t="shared" si="31"/>
        <v>1494914479.5454507</v>
      </c>
      <c r="F104" s="55">
        <f t="shared" si="31"/>
        <v>110085429.06000002</v>
      </c>
      <c r="G104" s="55">
        <f t="shared" si="31"/>
        <v>1282293224.5100002</v>
      </c>
      <c r="H104" s="55">
        <f t="shared" si="31"/>
        <v>1370338272.9166634</v>
      </c>
      <c r="I104" s="55">
        <f>G104-H104</f>
        <v>-88045048.406663179</v>
      </c>
      <c r="J104" s="332">
        <f>IF(I104=0,"",I104/H104)</f>
        <v>-6.4250594285209461E-2</v>
      </c>
      <c r="K104" s="235">
        <f>K49+K102</f>
        <v>1494914479.5454507</v>
      </c>
    </row>
    <row r="105" spans="1:14" ht="12.75" customHeight="1" x14ac:dyDescent="0.25">
      <c r="A105" s="565" t="s">
        <v>722</v>
      </c>
      <c r="B105" s="169">
        <v>4</v>
      </c>
      <c r="C105" s="399"/>
      <c r="D105" s="303">
        <f>IF(D104=0,"",(D104/C104)-1)</f>
        <v>6.9396038742982835E-2</v>
      </c>
      <c r="E105" s="303">
        <f>IF(E104=0,"",(E104/C104)-1)</f>
        <v>6.9396038742982835E-2</v>
      </c>
      <c r="F105" s="303"/>
      <c r="G105" s="303"/>
      <c r="H105" s="303"/>
      <c r="I105" s="401"/>
      <c r="J105" s="403"/>
      <c r="K105" s="312">
        <f>IF(K104=0,"",(K104/C104)-1)</f>
        <v>6.9396038742982835E-2</v>
      </c>
      <c r="L105" s="67"/>
      <c r="M105" s="67"/>
      <c r="N105" s="67"/>
    </row>
    <row r="106" spans="1:14" ht="12.75" customHeight="1" x14ac:dyDescent="0.25">
      <c r="A106" s="567" t="s">
        <v>133</v>
      </c>
      <c r="B106" s="236"/>
      <c r="C106" s="112">
        <f t="shared" ref="C106:I106" si="32">C30+C46+C83+C99</f>
        <v>1354146061.4000001</v>
      </c>
      <c r="D106" s="56">
        <f t="shared" si="32"/>
        <v>1441264078.4299703</v>
      </c>
      <c r="E106" s="55">
        <f t="shared" si="32"/>
        <v>1441264078.4299703</v>
      </c>
      <c r="F106" s="55">
        <f t="shared" si="32"/>
        <v>106056339.00000001</v>
      </c>
      <c r="G106" s="55">
        <f t="shared" si="32"/>
        <v>1234524988.6200001</v>
      </c>
      <c r="H106" s="55">
        <f t="shared" si="32"/>
        <v>1321158738.5608068</v>
      </c>
      <c r="I106" s="55">
        <f t="shared" si="32"/>
        <v>-86633749.940806717</v>
      </c>
      <c r="J106" s="888">
        <f>IF(I106=0,"",I106/H106)</f>
        <v>-6.5574065713844859E-2</v>
      </c>
      <c r="K106" s="235">
        <f>K30+K46+K83+K99</f>
        <v>1441264078.4299703</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5" activePane="bottomRight" state="frozen"/>
      <selection pane="topRight"/>
      <selection pane="bottomLeft"/>
      <selection pane="bottomRight" activeCell="C41" sqref="C41"/>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M11 May</v>
      </c>
      <c r="B1" s="68"/>
    </row>
    <row r="2" spans="1:17" ht="25.5" customHeight="1" x14ac:dyDescent="0.25">
      <c r="A2" s="1045" t="str">
        <f>desc</f>
        <v>Description</v>
      </c>
      <c r="B2" s="1038" t="str">
        <f>head27</f>
        <v>Ref</v>
      </c>
      <c r="C2" s="1040" t="str">
        <f>Head2</f>
        <v>Budget Year 2020/21</v>
      </c>
      <c r="D2" s="1041"/>
      <c r="E2" s="1041"/>
      <c r="F2" s="1041"/>
      <c r="G2" s="1041"/>
      <c r="H2" s="1041"/>
      <c r="I2" s="1041"/>
      <c r="J2" s="1041"/>
      <c r="K2" s="1041"/>
      <c r="L2" s="1041"/>
      <c r="M2" s="1041"/>
      <c r="N2" s="1092"/>
      <c r="O2" s="1040" t="str">
        <f>'Template names'!B5</f>
        <v>2020/21 Medium Term Revenue &amp; Expenditure Framework</v>
      </c>
      <c r="P2" s="1041"/>
      <c r="Q2" s="1042"/>
    </row>
    <row r="3" spans="1:17" ht="12.75" customHeight="1" x14ac:dyDescent="0.25">
      <c r="A3" s="1046"/>
      <c r="B3" s="1049"/>
      <c r="C3" s="143" t="s">
        <v>782</v>
      </c>
      <c r="D3" s="27" t="s">
        <v>905</v>
      </c>
      <c r="E3" s="27" t="s">
        <v>3</v>
      </c>
      <c r="F3" s="27" t="s">
        <v>906</v>
      </c>
      <c r="G3" s="27" t="s">
        <v>4</v>
      </c>
      <c r="H3" s="27" t="s">
        <v>5</v>
      </c>
      <c r="I3" s="27" t="s">
        <v>909</v>
      </c>
      <c r="J3" s="27" t="s">
        <v>6</v>
      </c>
      <c r="K3" s="27" t="s">
        <v>911</v>
      </c>
      <c r="L3" s="27" t="s">
        <v>912</v>
      </c>
      <c r="M3" s="27" t="s">
        <v>913</v>
      </c>
      <c r="N3" s="163" t="s">
        <v>914</v>
      </c>
      <c r="O3" s="1090" t="str">
        <f>Head9</f>
        <v>Budget Year 2020/21</v>
      </c>
      <c r="P3" s="1086" t="str">
        <f>Head10</f>
        <v>Budget Year +1 2021/22</v>
      </c>
      <c r="Q3" s="1088"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91"/>
      <c r="P4" s="1087"/>
      <c r="Q4" s="1089"/>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v>105816216.168483</v>
      </c>
      <c r="D6" s="733">
        <v>105816216.168483</v>
      </c>
      <c r="E6" s="733">
        <v>105816216.16848332</v>
      </c>
      <c r="F6" s="733">
        <v>105816216.16848332</v>
      </c>
      <c r="G6" s="733">
        <v>105816216.16848332</v>
      </c>
      <c r="H6" s="733">
        <v>105816216.16848332</v>
      </c>
      <c r="I6" s="733">
        <v>105816216.16848332</v>
      </c>
      <c r="J6" s="733">
        <v>105816216.16848332</v>
      </c>
      <c r="K6" s="733">
        <v>105816216.16848332</v>
      </c>
      <c r="L6" s="733">
        <v>105816216.16848332</v>
      </c>
      <c r="M6" s="733">
        <v>105816216.16848332</v>
      </c>
      <c r="N6" s="108">
        <f t="shared" ref="N6:N20" si="0">O6-SUM(C6:M6)</f>
        <v>105816216.16848421</v>
      </c>
      <c r="O6" s="745">
        <v>1269794594.0217998</v>
      </c>
      <c r="P6" s="733">
        <v>1321378575.3248138</v>
      </c>
      <c r="Q6" s="735">
        <v>1400661289.8443022</v>
      </c>
    </row>
    <row r="7" spans="1:17" ht="12.75" customHeight="1" x14ac:dyDescent="0.25">
      <c r="A7" s="39" t="s">
        <v>834</v>
      </c>
      <c r="B7" s="40"/>
      <c r="C7" s="753">
        <v>215397973.09481752</v>
      </c>
      <c r="D7" s="733">
        <v>215397973.09481752</v>
      </c>
      <c r="E7" s="733">
        <v>215397973.09481752</v>
      </c>
      <c r="F7" s="733">
        <v>215397973.09481752</v>
      </c>
      <c r="G7" s="733">
        <v>215397973.09481752</v>
      </c>
      <c r="H7" s="733">
        <v>215397973.09481752</v>
      </c>
      <c r="I7" s="733">
        <v>215397973.09481752</v>
      </c>
      <c r="J7" s="733">
        <v>215397973.09481752</v>
      </c>
      <c r="K7" s="733">
        <v>215397973.09481752</v>
      </c>
      <c r="L7" s="733">
        <v>215397973.09481752</v>
      </c>
      <c r="M7" s="733">
        <v>215397973.09481752</v>
      </c>
      <c r="N7" s="108">
        <f t="shared" si="0"/>
        <v>215397973.09481812</v>
      </c>
      <c r="O7" s="745">
        <v>2584775677.1378117</v>
      </c>
      <c r="P7" s="733">
        <v>2961894448.4322181</v>
      </c>
      <c r="Q7" s="735">
        <v>3317321782.2440844</v>
      </c>
    </row>
    <row r="8" spans="1:17" ht="12.75" customHeight="1" x14ac:dyDescent="0.25">
      <c r="A8" s="39" t="s">
        <v>835</v>
      </c>
      <c r="B8" s="40"/>
      <c r="C8" s="753">
        <v>60219424.56863334</v>
      </c>
      <c r="D8" s="733">
        <v>60219424.56863334</v>
      </c>
      <c r="E8" s="733">
        <v>60219424.56863334</v>
      </c>
      <c r="F8" s="733">
        <v>60219424.56863334</v>
      </c>
      <c r="G8" s="733">
        <v>60219424.56863334</v>
      </c>
      <c r="H8" s="733">
        <v>60219424.56863334</v>
      </c>
      <c r="I8" s="733">
        <v>60219424.56863334</v>
      </c>
      <c r="J8" s="733">
        <v>60219424.56863334</v>
      </c>
      <c r="K8" s="733">
        <v>60219424.56863334</v>
      </c>
      <c r="L8" s="733">
        <v>60219424.56863334</v>
      </c>
      <c r="M8" s="733">
        <v>60219424.56863334</v>
      </c>
      <c r="N8" s="108">
        <f t="shared" si="0"/>
        <v>60219424.568633676</v>
      </c>
      <c r="O8" s="745">
        <v>722633094.82360029</v>
      </c>
      <c r="P8" s="733">
        <v>773217411.46125221</v>
      </c>
      <c r="Q8" s="735">
        <v>827342630.26354003</v>
      </c>
    </row>
    <row r="9" spans="1:17" ht="12.75" customHeight="1" x14ac:dyDescent="0.25">
      <c r="A9" s="39" t="s">
        <v>836</v>
      </c>
      <c r="B9" s="40"/>
      <c r="C9" s="753">
        <v>12668479.113399999</v>
      </c>
      <c r="D9" s="733">
        <v>12668479.113399999</v>
      </c>
      <c r="E9" s="733">
        <v>12668479.113399999</v>
      </c>
      <c r="F9" s="733">
        <v>12668479.113399999</v>
      </c>
      <c r="G9" s="733">
        <v>12668479.113399999</v>
      </c>
      <c r="H9" s="733">
        <v>12668479.113399999</v>
      </c>
      <c r="I9" s="733">
        <v>12668479.113399999</v>
      </c>
      <c r="J9" s="733">
        <v>12668479.113399999</v>
      </c>
      <c r="K9" s="733">
        <v>12668479.113399999</v>
      </c>
      <c r="L9" s="733">
        <v>12668479.113399999</v>
      </c>
      <c r="M9" s="733">
        <v>12668479.113399999</v>
      </c>
      <c r="N9" s="108">
        <f t="shared" si="0"/>
        <v>12668479.113400012</v>
      </c>
      <c r="O9" s="745">
        <v>152021749.3608</v>
      </c>
      <c r="P9" s="733">
        <v>160154912.95160282</v>
      </c>
      <c r="Q9" s="735">
        <v>169652099.28963286</v>
      </c>
    </row>
    <row r="10" spans="1:17" ht="12.75" customHeight="1" x14ac:dyDescent="0.25">
      <c r="A10" s="39" t="s">
        <v>485</v>
      </c>
      <c r="B10" s="40"/>
      <c r="C10" s="753">
        <v>9694423.414224999</v>
      </c>
      <c r="D10" s="733">
        <v>9694423.414224999</v>
      </c>
      <c r="E10" s="733">
        <v>9694423.414224999</v>
      </c>
      <c r="F10" s="733">
        <v>9694423.414224999</v>
      </c>
      <c r="G10" s="733">
        <v>9694423.414224999</v>
      </c>
      <c r="H10" s="733">
        <v>9694423.414224999</v>
      </c>
      <c r="I10" s="733">
        <v>9694423.414224999</v>
      </c>
      <c r="J10" s="733">
        <v>9694423.414224999</v>
      </c>
      <c r="K10" s="733">
        <v>9694423.414224999</v>
      </c>
      <c r="L10" s="733">
        <v>9694423.414224999</v>
      </c>
      <c r="M10" s="733">
        <v>9694423.414224999</v>
      </c>
      <c r="N10" s="108">
        <f t="shared" si="0"/>
        <v>9694423.4142250121</v>
      </c>
      <c r="O10" s="745">
        <v>116333080.9707</v>
      </c>
      <c r="P10" s="733">
        <v>122556900.80263247</v>
      </c>
      <c r="Q10" s="735">
        <v>129824525.02022855</v>
      </c>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v>2423233.1355833327</v>
      </c>
      <c r="D12" s="733">
        <v>2423233.1355833327</v>
      </c>
      <c r="E12" s="733">
        <v>2423233.1355833327</v>
      </c>
      <c r="F12" s="733">
        <v>2423233.1355833327</v>
      </c>
      <c r="G12" s="733">
        <v>2423233.1355833327</v>
      </c>
      <c r="H12" s="733">
        <v>2423233.1355833327</v>
      </c>
      <c r="I12" s="733">
        <v>2423233.1355833327</v>
      </c>
      <c r="J12" s="733">
        <v>2423233.1355833327</v>
      </c>
      <c r="K12" s="733">
        <v>2423233.1355833327</v>
      </c>
      <c r="L12" s="733">
        <v>2423233.1355833327</v>
      </c>
      <c r="M12" s="733">
        <v>2423233.1355833327</v>
      </c>
      <c r="N12" s="108">
        <f t="shared" si="0"/>
        <v>2423233.1355833262</v>
      </c>
      <c r="O12" s="745">
        <v>29078797.626999993</v>
      </c>
      <c r="P12" s="733">
        <v>30634513.300044499</v>
      </c>
      <c r="Q12" s="735">
        <v>32451139.938737135</v>
      </c>
    </row>
    <row r="13" spans="1:17" ht="12.75" customHeight="1" x14ac:dyDescent="0.25">
      <c r="A13" s="39" t="s">
        <v>838</v>
      </c>
      <c r="B13" s="40"/>
      <c r="C13" s="753">
        <v>1271701.8689375001</v>
      </c>
      <c r="D13" s="733">
        <v>1271701.8689375001</v>
      </c>
      <c r="E13" s="733">
        <v>1271701.8689375001</v>
      </c>
      <c r="F13" s="733">
        <v>1271701.8689375001</v>
      </c>
      <c r="G13" s="733">
        <v>1271701.8689375001</v>
      </c>
      <c r="H13" s="733">
        <v>1271701.8689375001</v>
      </c>
      <c r="I13" s="733">
        <v>1271701.8689375001</v>
      </c>
      <c r="J13" s="733">
        <v>1271701.8689375001</v>
      </c>
      <c r="K13" s="733">
        <v>1271701.8689375001</v>
      </c>
      <c r="L13" s="733">
        <v>1271701.8689375001</v>
      </c>
      <c r="M13" s="733">
        <v>1271701.8689375001</v>
      </c>
      <c r="N13" s="108">
        <f t="shared" si="0"/>
        <v>1271701.8689374998</v>
      </c>
      <c r="O13" s="745">
        <v>15260422.42725</v>
      </c>
      <c r="P13" s="733">
        <v>16076855.027107876</v>
      </c>
      <c r="Q13" s="735">
        <v>17030212.530215371</v>
      </c>
    </row>
    <row r="14" spans="1:17" ht="12.75" customHeight="1" x14ac:dyDescent="0.25">
      <c r="A14" s="39" t="s">
        <v>839</v>
      </c>
      <c r="B14" s="40"/>
      <c r="C14" s="753">
        <v>16871482.823799998</v>
      </c>
      <c r="D14" s="733">
        <v>16871482.823799998</v>
      </c>
      <c r="E14" s="733">
        <v>16871482.823799998</v>
      </c>
      <c r="F14" s="733">
        <v>16871482.823799998</v>
      </c>
      <c r="G14" s="733">
        <v>16871482.823799998</v>
      </c>
      <c r="H14" s="733">
        <v>16871482.823799998</v>
      </c>
      <c r="I14" s="733">
        <v>16871482.823799998</v>
      </c>
      <c r="J14" s="733">
        <v>16871482.823799998</v>
      </c>
      <c r="K14" s="733">
        <v>16871482.823799998</v>
      </c>
      <c r="L14" s="733">
        <v>16871482.823799998</v>
      </c>
      <c r="M14" s="733">
        <v>16871482.823799998</v>
      </c>
      <c r="N14" s="108">
        <f t="shared" si="0"/>
        <v>16871482.823799998</v>
      </c>
      <c r="O14" s="745">
        <v>202457793.88559997</v>
      </c>
      <c r="P14" s="733">
        <v>213289285.85847962</v>
      </c>
      <c r="Q14" s="735">
        <v>225937340.50988746</v>
      </c>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v>149879.286975</v>
      </c>
      <c r="D16" s="733">
        <v>149879.286975</v>
      </c>
      <c r="E16" s="733">
        <v>149879.286975</v>
      </c>
      <c r="F16" s="733">
        <v>149879.286975</v>
      </c>
      <c r="G16" s="733">
        <v>149879.286975</v>
      </c>
      <c r="H16" s="733">
        <v>149879.286975</v>
      </c>
      <c r="I16" s="733">
        <v>149879.286975</v>
      </c>
      <c r="J16" s="733">
        <v>149879.286975</v>
      </c>
      <c r="K16" s="733">
        <v>149879.286975</v>
      </c>
      <c r="L16" s="733">
        <v>149879.286975</v>
      </c>
      <c r="M16" s="733">
        <v>149879.286975</v>
      </c>
      <c r="N16" s="108">
        <f t="shared" si="0"/>
        <v>149879.28697499959</v>
      </c>
      <c r="O16" s="745">
        <v>1798551.4436999999</v>
      </c>
      <c r="P16" s="733">
        <v>1894773.9459379502</v>
      </c>
      <c r="Q16" s="735">
        <v>2007134.0409320705</v>
      </c>
    </row>
    <row r="17" spans="1:17" ht="12.75" customHeight="1" x14ac:dyDescent="0.25">
      <c r="A17" s="39" t="s">
        <v>840</v>
      </c>
      <c r="B17" s="40"/>
      <c r="C17" s="753">
        <v>93297.417124999993</v>
      </c>
      <c r="D17" s="733">
        <v>93297.417124999993</v>
      </c>
      <c r="E17" s="733">
        <v>93297.417124999993</v>
      </c>
      <c r="F17" s="733">
        <v>93297.417124999993</v>
      </c>
      <c r="G17" s="733">
        <v>93297.417124999993</v>
      </c>
      <c r="H17" s="733">
        <v>93297.417124999993</v>
      </c>
      <c r="I17" s="733">
        <v>93297.417124999993</v>
      </c>
      <c r="J17" s="733">
        <v>93297.417124999993</v>
      </c>
      <c r="K17" s="733">
        <v>93297.417124999993</v>
      </c>
      <c r="L17" s="733">
        <v>93297.417124999993</v>
      </c>
      <c r="M17" s="733">
        <v>93297.417124999993</v>
      </c>
      <c r="N17" s="108">
        <f t="shared" si="0"/>
        <v>93297.417124999803</v>
      </c>
      <c r="O17" s="745">
        <v>1119569.0055</v>
      </c>
      <c r="P17" s="733">
        <v>1179465.9472942504</v>
      </c>
      <c r="Q17" s="735">
        <v>1249408.2779687992</v>
      </c>
    </row>
    <row r="18" spans="1:17" ht="12.75" customHeight="1" x14ac:dyDescent="0.25">
      <c r="A18" s="39" t="s">
        <v>580</v>
      </c>
      <c r="B18" s="40"/>
      <c r="C18" s="753">
        <v>50158.502166666665</v>
      </c>
      <c r="D18" s="733">
        <v>50158.502166666665</v>
      </c>
      <c r="E18" s="733">
        <v>50158.502166666665</v>
      </c>
      <c r="F18" s="733">
        <v>50158.502166666665</v>
      </c>
      <c r="G18" s="733">
        <v>50158.502166666665</v>
      </c>
      <c r="H18" s="733">
        <v>50158.502166666665</v>
      </c>
      <c r="I18" s="733">
        <v>50158.502166666665</v>
      </c>
      <c r="J18" s="733">
        <v>50158.502166666665</v>
      </c>
      <c r="K18" s="733">
        <v>50158.502166666665</v>
      </c>
      <c r="L18" s="733">
        <v>50158.502166666665</v>
      </c>
      <c r="M18" s="733">
        <v>50158.502166666665</v>
      </c>
      <c r="N18" s="108">
        <f t="shared" si="0"/>
        <v>50158.502166666673</v>
      </c>
      <c r="O18" s="745">
        <v>601902.02599999995</v>
      </c>
      <c r="P18" s="733">
        <v>634103.78439100005</v>
      </c>
      <c r="Q18" s="735">
        <v>671706.13880538626</v>
      </c>
    </row>
    <row r="19" spans="1:17" ht="12.75" customHeight="1" x14ac:dyDescent="0.25">
      <c r="A19" s="992" t="s">
        <v>1372</v>
      </c>
      <c r="B19" s="40"/>
      <c r="C19" s="753">
        <v>56290270</v>
      </c>
      <c r="D19" s="733">
        <v>56290270</v>
      </c>
      <c r="E19" s="733">
        <v>56290270</v>
      </c>
      <c r="F19" s="733">
        <v>56290270</v>
      </c>
      <c r="G19" s="733">
        <v>56290270</v>
      </c>
      <c r="H19" s="733">
        <v>56290270</v>
      </c>
      <c r="I19" s="733">
        <v>56290270</v>
      </c>
      <c r="J19" s="733">
        <v>56290270</v>
      </c>
      <c r="K19" s="733">
        <v>56290270</v>
      </c>
      <c r="L19" s="733">
        <v>56290270</v>
      </c>
      <c r="M19" s="733">
        <v>56290270</v>
      </c>
      <c r="N19" s="108">
        <f t="shared" si="0"/>
        <v>56290270</v>
      </c>
      <c r="O19" s="745">
        <v>675483240</v>
      </c>
      <c r="P19" s="733">
        <v>661215834.75</v>
      </c>
      <c r="Q19" s="735">
        <v>696906045.30000007</v>
      </c>
    </row>
    <row r="20" spans="1:17" ht="12.75" customHeight="1" x14ac:dyDescent="0.25">
      <c r="A20" s="39" t="s">
        <v>453</v>
      </c>
      <c r="B20" s="40"/>
      <c r="C20" s="753">
        <v>12204315.428524999</v>
      </c>
      <c r="D20" s="733">
        <v>12204315.428524999</v>
      </c>
      <c r="E20" s="733">
        <v>12204315.428524999</v>
      </c>
      <c r="F20" s="733">
        <v>12204315.428524999</v>
      </c>
      <c r="G20" s="733">
        <v>12204315.428524999</v>
      </c>
      <c r="H20" s="733">
        <v>12204315.428524999</v>
      </c>
      <c r="I20" s="733">
        <v>12204315.428524999</v>
      </c>
      <c r="J20" s="733">
        <v>12204315.428524999</v>
      </c>
      <c r="K20" s="733">
        <v>12204315.428524999</v>
      </c>
      <c r="L20" s="733">
        <v>12204315.428524999</v>
      </c>
      <c r="M20" s="733">
        <v>12204315.428524999</v>
      </c>
      <c r="N20" s="108">
        <f t="shared" si="0"/>
        <v>12204315.428525001</v>
      </c>
      <c r="O20" s="745">
        <v>146451785.14229998</v>
      </c>
      <c r="P20" s="733">
        <v>154286955.64741305</v>
      </c>
      <c r="Q20" s="735">
        <v>163436172.11730465</v>
      </c>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493150854.82267344</v>
      </c>
      <c r="O21" s="475">
        <v>0</v>
      </c>
      <c r="P21" s="430">
        <f>SUM(P6:P10)+SUM(P12:P20)</f>
        <v>6418414037.2331886</v>
      </c>
      <c r="Q21" s="513">
        <f>SUM(Q6:Q10)+SUM(Q12:Q20)</f>
        <v>6984491485.5156384</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v>43824298.416666649</v>
      </c>
      <c r="D24" s="996">
        <v>43824298.416666649</v>
      </c>
      <c r="E24" s="996">
        <v>43824298.416666649</v>
      </c>
      <c r="F24" s="996">
        <v>43824298.416666649</v>
      </c>
      <c r="G24" s="996">
        <v>43824298.416666649</v>
      </c>
      <c r="H24" s="996">
        <v>43824298.416666649</v>
      </c>
      <c r="I24" s="996">
        <v>43824298.416666649</v>
      </c>
      <c r="J24" s="996">
        <v>43824298.416666649</v>
      </c>
      <c r="K24" s="996">
        <v>43824298.416666649</v>
      </c>
      <c r="L24" s="996">
        <v>43824298.416666649</v>
      </c>
      <c r="M24" s="996">
        <v>43824298.416666649</v>
      </c>
      <c r="N24" s="997">
        <f t="shared" si="1"/>
        <v>43824298.416666746</v>
      </c>
      <c r="O24" s="998">
        <v>525891580.99999982</v>
      </c>
      <c r="P24" s="996">
        <v>380796576</v>
      </c>
      <c r="Q24" s="999">
        <v>332115854.69999999</v>
      </c>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43824298.416666649</v>
      </c>
      <c r="D33" s="73">
        <f t="shared" ref="D33:Q33" si="2">SUM(D21:D29)+SUM(D31:D32)</f>
        <v>43824298.416666649</v>
      </c>
      <c r="E33" s="73">
        <f t="shared" si="2"/>
        <v>43824298.416666649</v>
      </c>
      <c r="F33" s="73">
        <f t="shared" si="2"/>
        <v>43824298.416666649</v>
      </c>
      <c r="G33" s="73">
        <f t="shared" si="2"/>
        <v>43824298.416666649</v>
      </c>
      <c r="H33" s="73">
        <f t="shared" si="2"/>
        <v>43824298.416666649</v>
      </c>
      <c r="I33" s="73">
        <f t="shared" si="2"/>
        <v>43824298.416666649</v>
      </c>
      <c r="J33" s="73">
        <f t="shared" si="2"/>
        <v>43824298.416666649</v>
      </c>
      <c r="K33" s="73">
        <f t="shared" si="2"/>
        <v>43824298.416666649</v>
      </c>
      <c r="L33" s="73">
        <f t="shared" si="2"/>
        <v>43824298.416666649</v>
      </c>
      <c r="M33" s="73">
        <f t="shared" si="2"/>
        <v>43824298.416666649</v>
      </c>
      <c r="N33" s="320">
        <f t="shared" si="2"/>
        <v>536975153.23934019</v>
      </c>
      <c r="O33" s="74">
        <f t="shared" si="2"/>
        <v>525891580.99999982</v>
      </c>
      <c r="P33" s="73">
        <f t="shared" si="2"/>
        <v>6799210613.2331886</v>
      </c>
      <c r="Q33" s="145">
        <f t="shared" si="2"/>
        <v>7316607340.2156382</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v>122281090.33951499</v>
      </c>
      <c r="D36" s="733">
        <v>122281090.33951499</v>
      </c>
      <c r="E36" s="733">
        <v>122281090.33951499</v>
      </c>
      <c r="F36" s="733">
        <v>122281090.33951499</v>
      </c>
      <c r="G36" s="733">
        <v>122281090.33951499</v>
      </c>
      <c r="H36" s="733">
        <v>122281090.33951499</v>
      </c>
      <c r="I36" s="733">
        <v>122281090.33951499</v>
      </c>
      <c r="J36" s="733">
        <v>122281090.33951499</v>
      </c>
      <c r="K36" s="733">
        <v>122281090.33951499</v>
      </c>
      <c r="L36" s="733">
        <v>122281090.33951499</v>
      </c>
      <c r="M36" s="733">
        <v>122281090.33951499</v>
      </c>
      <c r="N36" s="108">
        <f t="shared" si="3"/>
        <v>122281090.33951497</v>
      </c>
      <c r="O36" s="745">
        <v>1467373084.0741799</v>
      </c>
      <c r="P36" s="733">
        <v>1538089742.6611965</v>
      </c>
      <c r="Q36" s="735">
        <v>1612775388.5262868</v>
      </c>
    </row>
    <row r="37" spans="1:17" ht="12.75" customHeight="1" x14ac:dyDescent="0.25">
      <c r="A37" s="39" t="s">
        <v>477</v>
      </c>
      <c r="B37" s="40"/>
      <c r="C37" s="753">
        <v>4470866.759623331</v>
      </c>
      <c r="D37" s="733">
        <v>4470866.759623331</v>
      </c>
      <c r="E37" s="733">
        <v>4470866.759623331</v>
      </c>
      <c r="F37" s="733">
        <v>4470866.759623331</v>
      </c>
      <c r="G37" s="733">
        <v>4470866.759623331</v>
      </c>
      <c r="H37" s="733">
        <v>4470866.759623331</v>
      </c>
      <c r="I37" s="733">
        <v>4470866.759623331</v>
      </c>
      <c r="J37" s="733">
        <v>4470866.759623331</v>
      </c>
      <c r="K37" s="733">
        <v>4470866.759623331</v>
      </c>
      <c r="L37" s="733">
        <v>4470866.759623331</v>
      </c>
      <c r="M37" s="733">
        <v>4470866.759623331</v>
      </c>
      <c r="N37" s="108">
        <f t="shared" si="3"/>
        <v>4470866.7596233264</v>
      </c>
      <c r="O37" s="745">
        <v>53650401.115479976</v>
      </c>
      <c r="P37" s="733">
        <v>56332921.512000009</v>
      </c>
      <c r="Q37" s="735">
        <v>59149567.587599993</v>
      </c>
    </row>
    <row r="38" spans="1:17" ht="12.75" customHeight="1" x14ac:dyDescent="0.25">
      <c r="A38" s="39" t="s">
        <v>843</v>
      </c>
      <c r="B38" s="40"/>
      <c r="C38" s="753">
        <v>10325345.272666669</v>
      </c>
      <c r="D38" s="733">
        <v>10325345.272666669</v>
      </c>
      <c r="E38" s="733">
        <v>10325345.272666669</v>
      </c>
      <c r="F38" s="733">
        <v>10325345.272666669</v>
      </c>
      <c r="G38" s="733">
        <v>10325345.272666669</v>
      </c>
      <c r="H38" s="733">
        <v>10325345.272666669</v>
      </c>
      <c r="I38" s="733">
        <v>10325345.272666669</v>
      </c>
      <c r="J38" s="733">
        <v>10325345.272666669</v>
      </c>
      <c r="K38" s="733">
        <v>10325345.272666669</v>
      </c>
      <c r="L38" s="733">
        <v>10325345.272666669</v>
      </c>
      <c r="M38" s="733">
        <v>10325345.272666669</v>
      </c>
      <c r="N38" s="108">
        <f t="shared" si="3"/>
        <v>10325345.272666678</v>
      </c>
      <c r="O38" s="745">
        <v>123904143.27200001</v>
      </c>
      <c r="P38" s="733">
        <v>34724271.9265</v>
      </c>
      <c r="Q38" s="735">
        <v>36669376.450000003</v>
      </c>
    </row>
    <row r="39" spans="1:17" ht="12.75" customHeight="1" x14ac:dyDescent="0.25">
      <c r="A39" s="39" t="s">
        <v>915</v>
      </c>
      <c r="B39" s="40"/>
      <c r="C39" s="753">
        <v>40749287.356228322</v>
      </c>
      <c r="D39" s="733">
        <v>40749287.356228322</v>
      </c>
      <c r="E39" s="733">
        <v>40749287.356228322</v>
      </c>
      <c r="F39" s="733">
        <v>40749287.356228322</v>
      </c>
      <c r="G39" s="733">
        <v>40749287.356228322</v>
      </c>
      <c r="H39" s="733">
        <v>40749287.356228322</v>
      </c>
      <c r="I39" s="733">
        <v>40749287.356228322</v>
      </c>
      <c r="J39" s="733">
        <v>40749287.356228322</v>
      </c>
      <c r="K39" s="733">
        <v>40749287.356228322</v>
      </c>
      <c r="L39" s="733">
        <v>40749287.356228322</v>
      </c>
      <c r="M39" s="733">
        <v>40749287.356228322</v>
      </c>
      <c r="N39" s="108">
        <f t="shared" si="3"/>
        <v>40749287.356228232</v>
      </c>
      <c r="O39" s="745">
        <v>488991448.27473986</v>
      </c>
      <c r="P39" s="733">
        <v>2185393029.02</v>
      </c>
      <c r="Q39" s="735">
        <v>2449680192.5023999</v>
      </c>
    </row>
    <row r="40" spans="1:17" ht="12.75" customHeight="1" x14ac:dyDescent="0.25">
      <c r="A40" s="86" t="s">
        <v>918</v>
      </c>
      <c r="B40" s="40"/>
      <c r="C40" s="753">
        <v>2649434.351666667</v>
      </c>
      <c r="D40" s="733">
        <v>2649434.351666667</v>
      </c>
      <c r="E40" s="733">
        <v>2649434.351666667</v>
      </c>
      <c r="F40" s="733">
        <v>2649434.351666667</v>
      </c>
      <c r="G40" s="733">
        <v>2649434.351666667</v>
      </c>
      <c r="H40" s="733">
        <v>2649434.351666667</v>
      </c>
      <c r="I40" s="733">
        <v>2649434.351666667</v>
      </c>
      <c r="J40" s="733">
        <v>2649434.351666667</v>
      </c>
      <c r="K40" s="733">
        <v>2649434.351666667</v>
      </c>
      <c r="L40" s="733">
        <v>2649434.351666667</v>
      </c>
      <c r="M40" s="733">
        <v>2649434.351666667</v>
      </c>
      <c r="N40" s="108">
        <f t="shared" si="3"/>
        <v>2649434.3516666666</v>
      </c>
      <c r="O40" s="745">
        <v>31793212.220000003</v>
      </c>
      <c r="P40" s="733">
        <v>830520119.36216199</v>
      </c>
      <c r="Q40" s="735">
        <v>887765284.38625491</v>
      </c>
    </row>
    <row r="41" spans="1:17" ht="12.75" customHeight="1" x14ac:dyDescent="0.25">
      <c r="A41" s="86" t="s">
        <v>920</v>
      </c>
      <c r="B41" s="40"/>
      <c r="C41" s="753">
        <v>217352007.0420146</v>
      </c>
      <c r="D41" s="733">
        <v>217352007.0420146</v>
      </c>
      <c r="E41" s="733">
        <v>217352007.0420146</v>
      </c>
      <c r="F41" s="733">
        <v>217352007.0420146</v>
      </c>
      <c r="G41" s="733">
        <v>217352007.0420146</v>
      </c>
      <c r="H41" s="733">
        <v>217352007.0420146</v>
      </c>
      <c r="I41" s="733">
        <v>217352007.0420146</v>
      </c>
      <c r="J41" s="733">
        <v>217352007.0420146</v>
      </c>
      <c r="K41" s="733">
        <v>217352007.0420146</v>
      </c>
      <c r="L41" s="733">
        <v>217352007.0420146</v>
      </c>
      <c r="M41" s="733">
        <v>217352007.0420146</v>
      </c>
      <c r="N41" s="108">
        <f t="shared" si="3"/>
        <v>217352007.0420146</v>
      </c>
      <c r="O41" s="745">
        <v>2608224084.5041752</v>
      </c>
      <c r="P41" s="733"/>
      <c r="Q41" s="735"/>
    </row>
    <row r="42" spans="1:17" ht="12.75" customHeight="1" x14ac:dyDescent="0.25">
      <c r="A42" s="86" t="s">
        <v>845</v>
      </c>
      <c r="B42" s="40"/>
      <c r="C42" s="753">
        <v>3881234.6702178656</v>
      </c>
      <c r="D42" s="733">
        <v>3881234.6702178656</v>
      </c>
      <c r="E42" s="733">
        <v>3881234.6702178656</v>
      </c>
      <c r="F42" s="733">
        <v>3881234.6702178656</v>
      </c>
      <c r="G42" s="733">
        <v>3881234.6702178656</v>
      </c>
      <c r="H42" s="733">
        <v>3881234.6702178656</v>
      </c>
      <c r="I42" s="733">
        <v>3881234.6702178656</v>
      </c>
      <c r="J42" s="733">
        <v>3881234.6702178656</v>
      </c>
      <c r="K42" s="733">
        <v>3881234.6702178656</v>
      </c>
      <c r="L42" s="733">
        <v>3881234.6702178656</v>
      </c>
      <c r="M42" s="733">
        <v>3881234.6702178656</v>
      </c>
      <c r="N42" s="108">
        <f t="shared" si="3"/>
        <v>3881234.6702178717</v>
      </c>
      <c r="O42" s="745">
        <v>46574816.042614385</v>
      </c>
      <c r="P42" s="733">
        <v>655391231.03568816</v>
      </c>
      <c r="Q42" s="735">
        <v>716382501.20211387</v>
      </c>
    </row>
    <row r="43" spans="1:17" ht="12.75" customHeight="1" x14ac:dyDescent="0.25">
      <c r="A43" s="86" t="s">
        <v>924</v>
      </c>
      <c r="B43" s="40"/>
      <c r="C43" s="753">
        <v>38648925.060212493</v>
      </c>
      <c r="D43" s="733">
        <v>38648925.060212493</v>
      </c>
      <c r="E43" s="733">
        <v>38648925.060212493</v>
      </c>
      <c r="F43" s="733">
        <v>38648925.060212493</v>
      </c>
      <c r="G43" s="733">
        <v>38648925.060212493</v>
      </c>
      <c r="H43" s="733">
        <v>38648925.060212493</v>
      </c>
      <c r="I43" s="733">
        <v>38648925.060212493</v>
      </c>
      <c r="J43" s="733">
        <v>38648925.060212493</v>
      </c>
      <c r="K43" s="733">
        <v>38648925.060212493</v>
      </c>
      <c r="L43" s="733">
        <v>38648925.060212493</v>
      </c>
      <c r="M43" s="733">
        <v>38648925.060212493</v>
      </c>
      <c r="N43" s="108">
        <f t="shared" si="3"/>
        <v>38648925.060212493</v>
      </c>
      <c r="O43" s="745">
        <v>463787100.72254992</v>
      </c>
      <c r="P43" s="733">
        <v>45862882.854920194</v>
      </c>
      <c r="Q43" s="735">
        <v>52058867.744543836</v>
      </c>
    </row>
    <row r="44" spans="1:17" ht="12.75" customHeight="1" x14ac:dyDescent="0.25">
      <c r="A44" s="86" t="s">
        <v>925</v>
      </c>
      <c r="B44" s="40"/>
      <c r="C44" s="753">
        <v>2090038.4535866675</v>
      </c>
      <c r="D44" s="733">
        <v>2090038.4535866675</v>
      </c>
      <c r="E44" s="733">
        <v>2090038.4535866675</v>
      </c>
      <c r="F44" s="733">
        <v>2090038.4535866675</v>
      </c>
      <c r="G44" s="733">
        <v>2090038.4535866675</v>
      </c>
      <c r="H44" s="733">
        <v>2090038.4535866675</v>
      </c>
      <c r="I44" s="733">
        <v>2090038.4535866675</v>
      </c>
      <c r="J44" s="733">
        <v>2090038.4535866675</v>
      </c>
      <c r="K44" s="733">
        <v>2090038.4535866675</v>
      </c>
      <c r="L44" s="733">
        <v>2090038.4535866675</v>
      </c>
      <c r="M44" s="733">
        <v>2090038.4535866675</v>
      </c>
      <c r="N44" s="108">
        <f t="shared" si="3"/>
        <v>2090038.4535866678</v>
      </c>
      <c r="O44" s="745">
        <v>25080461.44304001</v>
      </c>
      <c r="P44" s="733"/>
      <c r="Q44" s="735"/>
    </row>
    <row r="45" spans="1:17" ht="12.75" customHeight="1" x14ac:dyDescent="0.25">
      <c r="A45" s="86" t="s">
        <v>846</v>
      </c>
      <c r="B45" s="40"/>
      <c r="C45" s="753">
        <v>16048817.530329162</v>
      </c>
      <c r="D45" s="733">
        <v>16048817.530329162</v>
      </c>
      <c r="E45" s="733">
        <v>16048817.530329162</v>
      </c>
      <c r="F45" s="733">
        <v>16048817.530329162</v>
      </c>
      <c r="G45" s="733">
        <v>16048817.530329162</v>
      </c>
      <c r="H45" s="733">
        <v>16048817.530329162</v>
      </c>
      <c r="I45" s="733">
        <v>16048817.530329162</v>
      </c>
      <c r="J45" s="733">
        <v>16048817.530329162</v>
      </c>
      <c r="K45" s="733">
        <v>16048817.530329162</v>
      </c>
      <c r="L45" s="733">
        <v>16048817.530329162</v>
      </c>
      <c r="M45" s="733">
        <v>16048817.530329162</v>
      </c>
      <c r="N45" s="108">
        <f t="shared" si="3"/>
        <v>16048817.530329138</v>
      </c>
      <c r="O45" s="745">
        <v>192585810.36394995</v>
      </c>
      <c r="P45" s="733">
        <v>200227522.52318305</v>
      </c>
      <c r="Q45" s="735">
        <v>230729553.22676799</v>
      </c>
    </row>
    <row r="46" spans="1:17" ht="12.75" customHeight="1" x14ac:dyDescent="0.25">
      <c r="A46" s="88" t="s">
        <v>934</v>
      </c>
      <c r="B46" s="52">
        <f>SUM(B36:B45)</f>
        <v>0</v>
      </c>
      <c r="C46" s="475"/>
      <c r="D46" s="430"/>
      <c r="E46" s="430"/>
      <c r="F46" s="430"/>
      <c r="G46" s="430"/>
      <c r="H46" s="430"/>
      <c r="I46" s="430"/>
      <c r="J46" s="430"/>
      <c r="K46" s="430"/>
      <c r="L46" s="430"/>
      <c r="M46" s="430"/>
      <c r="N46" s="508">
        <f>SUM(N36:N45)</f>
        <v>458497046.83606064</v>
      </c>
      <c r="O46" s="475">
        <v>0</v>
      </c>
      <c r="P46" s="430">
        <f>SUM(P36:P45)</f>
        <v>5546541720.8956499</v>
      </c>
      <c r="Q46" s="513">
        <f>SUM(Q36:Q45)</f>
        <v>6045210731.625968</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v>380796576</v>
      </c>
      <c r="Q49" s="735">
        <v>332115854.69999999</v>
      </c>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v>91637534.146948785</v>
      </c>
      <c r="Q50" s="735">
        <v>13128158.489999998</v>
      </c>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458497046.83606064</v>
      </c>
      <c r="O52" s="74">
        <f t="shared" si="4"/>
        <v>0</v>
      </c>
      <c r="P52" s="73">
        <f t="shared" si="4"/>
        <v>6018975831.0425987</v>
      </c>
      <c r="Q52" s="145">
        <f t="shared" si="4"/>
        <v>6390454744.8159676</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43824298.416666649</v>
      </c>
      <c r="D54" s="50">
        <f t="shared" si="5"/>
        <v>43824298.416666649</v>
      </c>
      <c r="E54" s="50">
        <f t="shared" si="5"/>
        <v>43824298.416666649</v>
      </c>
      <c r="F54" s="50">
        <f t="shared" si="5"/>
        <v>43824298.416666649</v>
      </c>
      <c r="G54" s="50">
        <f t="shared" si="5"/>
        <v>43824298.416666649</v>
      </c>
      <c r="H54" s="50">
        <f t="shared" si="5"/>
        <v>43824298.416666649</v>
      </c>
      <c r="I54" s="50">
        <f t="shared" si="5"/>
        <v>43824298.416666649</v>
      </c>
      <c r="J54" s="50">
        <f t="shared" si="5"/>
        <v>43824298.416666649</v>
      </c>
      <c r="K54" s="50">
        <f t="shared" si="5"/>
        <v>43824298.416666649</v>
      </c>
      <c r="L54" s="50">
        <f t="shared" si="5"/>
        <v>43824298.416666649</v>
      </c>
      <c r="M54" s="50">
        <f t="shared" si="5"/>
        <v>43824298.416666649</v>
      </c>
      <c r="N54" s="110">
        <f t="shared" si="5"/>
        <v>78478106.403279543</v>
      </c>
      <c r="O54" s="51">
        <f t="shared" si="5"/>
        <v>525891580.99999982</v>
      </c>
      <c r="P54" s="50">
        <f t="shared" si="5"/>
        <v>780234782.1905899</v>
      </c>
      <c r="Q54" s="194">
        <f t="shared" si="5"/>
        <v>926152595.3996706</v>
      </c>
    </row>
    <row r="55" spans="1:17" ht="12.75" customHeight="1" x14ac:dyDescent="0.25">
      <c r="A55" s="86" t="s">
        <v>568</v>
      </c>
      <c r="B55" s="40"/>
      <c r="C55" s="753"/>
      <c r="D55" s="44">
        <f>C56</f>
        <v>43824298.416666649</v>
      </c>
      <c r="E55" s="44">
        <f t="shared" ref="E55:N55" si="6">D56</f>
        <v>87648596.833333299</v>
      </c>
      <c r="F55" s="44">
        <f t="shared" si="6"/>
        <v>131472895.24999994</v>
      </c>
      <c r="G55" s="44">
        <f t="shared" si="6"/>
        <v>175297193.6666666</v>
      </c>
      <c r="H55" s="44">
        <f t="shared" si="6"/>
        <v>219121492.08333325</v>
      </c>
      <c r="I55" s="44">
        <f t="shared" si="6"/>
        <v>262945790.49999991</v>
      </c>
      <c r="J55" s="44">
        <f t="shared" si="6"/>
        <v>306770088.91666657</v>
      </c>
      <c r="K55" s="44">
        <f t="shared" si="6"/>
        <v>350594387.33333319</v>
      </c>
      <c r="L55" s="44">
        <f t="shared" si="6"/>
        <v>394418685.74999982</v>
      </c>
      <c r="M55" s="44">
        <f t="shared" si="6"/>
        <v>438242984.16666645</v>
      </c>
      <c r="N55" s="108">
        <f t="shared" si="6"/>
        <v>482067282.58333308</v>
      </c>
      <c r="O55" s="46">
        <f>C55</f>
        <v>0</v>
      </c>
      <c r="P55" s="44">
        <f>O56</f>
        <v>525891580.99999982</v>
      </c>
      <c r="Q55" s="144">
        <f>P56</f>
        <v>1306126363.1905897</v>
      </c>
    </row>
    <row r="56" spans="1:17" ht="12.75" customHeight="1" x14ac:dyDescent="0.25">
      <c r="A56" s="321" t="s">
        <v>669</v>
      </c>
      <c r="B56" s="176"/>
      <c r="C56" s="299">
        <f>C54+C55</f>
        <v>43824298.416666649</v>
      </c>
      <c r="D56" s="115">
        <f>D54+D55</f>
        <v>87648596.833333299</v>
      </c>
      <c r="E56" s="115">
        <f t="shared" ref="E56:N56" si="7">E54+E55</f>
        <v>131472895.24999994</v>
      </c>
      <c r="F56" s="115">
        <f t="shared" si="7"/>
        <v>175297193.6666666</v>
      </c>
      <c r="G56" s="115">
        <f t="shared" si="7"/>
        <v>219121492.08333325</v>
      </c>
      <c r="H56" s="115">
        <f t="shared" si="7"/>
        <v>262945790.49999991</v>
      </c>
      <c r="I56" s="115">
        <f t="shared" si="7"/>
        <v>306770088.91666657</v>
      </c>
      <c r="J56" s="115">
        <f t="shared" si="7"/>
        <v>350594387.33333319</v>
      </c>
      <c r="K56" s="115">
        <f t="shared" si="7"/>
        <v>394418685.74999982</v>
      </c>
      <c r="L56" s="115">
        <f t="shared" si="7"/>
        <v>438242984.16666645</v>
      </c>
      <c r="M56" s="115">
        <f t="shared" si="7"/>
        <v>482067282.58333308</v>
      </c>
      <c r="N56" s="317">
        <f t="shared" si="7"/>
        <v>560545388.98661256</v>
      </c>
      <c r="O56" s="116">
        <f>O54+O55</f>
        <v>525891580.99999982</v>
      </c>
      <c r="P56" s="115">
        <f>P54+P55</f>
        <v>1306126363.1905897</v>
      </c>
      <c r="Q56" s="190">
        <f>Q54+Q55</f>
        <v>2232278958.5902605</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458497046.83606064</v>
      </c>
      <c r="O65" s="85">
        <f t="shared" si="8"/>
        <v>0</v>
      </c>
      <c r="P65" s="85">
        <f t="shared" si="8"/>
        <v>5546541720.8956499</v>
      </c>
    </row>
    <row r="66" spans="5:16" x14ac:dyDescent="0.25">
      <c r="E66" s="85">
        <f t="shared" ref="E66:P66" si="9">E54-E64</f>
        <v>43824298.416666649</v>
      </c>
      <c r="F66" s="85">
        <f t="shared" si="9"/>
        <v>43824298.416666649</v>
      </c>
      <c r="G66" s="85">
        <f t="shared" si="9"/>
        <v>43824298.416666649</v>
      </c>
      <c r="H66" s="85">
        <f t="shared" si="9"/>
        <v>43824298.416666649</v>
      </c>
      <c r="I66" s="85">
        <f t="shared" si="9"/>
        <v>43824298.416666649</v>
      </c>
      <c r="J66" s="85">
        <f t="shared" si="9"/>
        <v>43824298.416666649</v>
      </c>
      <c r="K66" s="85">
        <f t="shared" si="9"/>
        <v>43824298.416666649</v>
      </c>
      <c r="L66" s="85">
        <f t="shared" si="9"/>
        <v>43824298.416666649</v>
      </c>
      <c r="M66" s="85">
        <f>M54-M64</f>
        <v>43824298.416666649</v>
      </c>
      <c r="N66" s="85">
        <f>N54-N64</f>
        <v>78478106.403279543</v>
      </c>
      <c r="O66" s="85">
        <f t="shared" si="9"/>
        <v>525891580.99999982</v>
      </c>
      <c r="P66" s="85">
        <f t="shared" si="9"/>
        <v>780234782.1905899</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C39" sqref="C39"/>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"&amp;S71P&amp; " - "&amp;Head57</f>
        <v>KZN225 Msunduzi - Supporting Table SC10 Monthly Budget Statement  - Parent Municipality Financial Performance (revenue and expenditure)  - M11 May</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v>1177107606</v>
      </c>
      <c r="D6" s="745">
        <v>1269794594.0217998</v>
      </c>
      <c r="E6" s="733">
        <v>1269794594.0217998</v>
      </c>
      <c r="F6" s="733">
        <v>87585561.579999998</v>
      </c>
      <c r="G6" s="733">
        <v>1101755574.9200001</v>
      </c>
      <c r="H6" s="733">
        <f>E6/12*11</f>
        <v>1163978377.8533165</v>
      </c>
      <c r="I6" s="44">
        <f t="shared" ref="I6:I21" si="0">G6-H6</f>
        <v>-62222802.933316469</v>
      </c>
      <c r="J6" s="330">
        <f>IF(I6=0,"",I6/H6)</f>
        <v>-5.3457009268567127E-2</v>
      </c>
      <c r="K6" s="735">
        <f>E6</f>
        <v>1269794594.0217998</v>
      </c>
    </row>
    <row r="7" spans="1:11" ht="12.75" customHeight="1" x14ac:dyDescent="0.25">
      <c r="A7" s="39" t="str">
        <f>'C4-FinPerf RE'!A7</f>
        <v>Service charges - electricity revenue</v>
      </c>
      <c r="B7" s="169"/>
      <c r="C7" s="748">
        <v>2159912320</v>
      </c>
      <c r="D7" s="745">
        <v>2584775677.1378117</v>
      </c>
      <c r="E7" s="733">
        <v>2584775677.1378117</v>
      </c>
      <c r="F7" s="733">
        <v>179552736.69</v>
      </c>
      <c r="G7" s="733">
        <v>2105018186.0799999</v>
      </c>
      <c r="H7" s="733">
        <f t="shared" ref="H7:H9" si="1">E7/12*11</f>
        <v>2369377704.042994</v>
      </c>
      <c r="I7" s="44">
        <f t="shared" si="0"/>
        <v>-264359517.9629941</v>
      </c>
      <c r="J7" s="330">
        <f t="shared" ref="J7:J22" si="2">IF(I7=0,"",I7/H7)</f>
        <v>-0.11157339647110864</v>
      </c>
      <c r="K7" s="735">
        <f>E7</f>
        <v>2584775677.1378117</v>
      </c>
    </row>
    <row r="8" spans="1:11" ht="12.75" customHeight="1" x14ac:dyDescent="0.25">
      <c r="A8" s="86" t="str">
        <f>'C4-FinPerf RE'!A8</f>
        <v>Service charges - water revenue</v>
      </c>
      <c r="B8" s="171"/>
      <c r="C8" s="748">
        <v>662849315</v>
      </c>
      <c r="D8" s="745">
        <v>722633094.82360029</v>
      </c>
      <c r="E8" s="733">
        <v>722633094.82360029</v>
      </c>
      <c r="F8" s="733">
        <v>58225382.57</v>
      </c>
      <c r="G8" s="733">
        <v>701830732.46000004</v>
      </c>
      <c r="H8" s="733">
        <f t="shared" si="1"/>
        <v>662413670.25496686</v>
      </c>
      <c r="I8" s="44">
        <f t="shared" si="0"/>
        <v>39417062.205033183</v>
      </c>
      <c r="J8" s="330">
        <f t="shared" si="2"/>
        <v>5.9505206451825381E-2</v>
      </c>
      <c r="K8" s="735">
        <f>E8</f>
        <v>722633094.82360029</v>
      </c>
    </row>
    <row r="9" spans="1:11" ht="12.75" customHeight="1" x14ac:dyDescent="0.25">
      <c r="A9" s="86" t="str">
        <f>'C4-FinPerf RE'!A9</f>
        <v>Service charges - sanitation revenue</v>
      </c>
      <c r="B9" s="171"/>
      <c r="C9" s="748">
        <v>172220501.91999999</v>
      </c>
      <c r="D9" s="745">
        <v>152021749.3608</v>
      </c>
      <c r="E9" s="733">
        <v>152021749.3608</v>
      </c>
      <c r="F9" s="733">
        <v>21542623.309999999</v>
      </c>
      <c r="G9" s="733">
        <v>151794648.06</v>
      </c>
      <c r="H9" s="733">
        <f t="shared" si="1"/>
        <v>139353270.24739999</v>
      </c>
      <c r="I9" s="44">
        <f t="shared" si="0"/>
        <v>12441377.812600017</v>
      </c>
      <c r="J9" s="330">
        <f t="shared" si="2"/>
        <v>8.9279410454539687E-2</v>
      </c>
      <c r="K9" s="735">
        <f>E9</f>
        <v>152021749.3608</v>
      </c>
    </row>
    <row r="10" spans="1:11" ht="12.75" customHeight="1" x14ac:dyDescent="0.25">
      <c r="A10" s="86" t="str">
        <f>'C4-FinPerf RE'!A10</f>
        <v>Service charges - refuse revenue</v>
      </c>
      <c r="B10" s="171"/>
      <c r="C10" s="748">
        <v>109639121</v>
      </c>
      <c r="D10" s="745">
        <v>116333080.9707</v>
      </c>
      <c r="E10" s="733">
        <v>116333080.9707</v>
      </c>
      <c r="F10" s="733">
        <v>9336230.6699999999</v>
      </c>
      <c r="G10" s="733">
        <v>98082115.730000004</v>
      </c>
      <c r="H10" s="733">
        <f>E10/12*11</f>
        <v>106638657.55647498</v>
      </c>
      <c r="I10" s="44">
        <f t="shared" si="0"/>
        <v>-8556541.8264749795</v>
      </c>
      <c r="J10" s="330">
        <f t="shared" si="2"/>
        <v>-8.0238649121623679E-2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v>43597286</v>
      </c>
      <c r="D12" s="745">
        <v>29078797.626999993</v>
      </c>
      <c r="E12" s="733">
        <v>29078797.626999993</v>
      </c>
      <c r="F12" s="733">
        <v>2039159.41</v>
      </c>
      <c r="G12" s="733">
        <v>12514451.300000001</v>
      </c>
      <c r="H12" s="733">
        <f t="shared" ref="H12:H14" si="3">E12/12*11</f>
        <v>26655564.491416659</v>
      </c>
      <c r="I12" s="44">
        <f t="shared" si="0"/>
        <v>-14141113.191416658</v>
      </c>
      <c r="J12" s="330">
        <f t="shared" si="2"/>
        <v>-0.53051261382853954</v>
      </c>
      <c r="K12" s="735">
        <f>E12</f>
        <v>29078797.626999993</v>
      </c>
    </row>
    <row r="13" spans="1:11" ht="12.75" customHeight="1" x14ac:dyDescent="0.25">
      <c r="A13" s="86" t="str">
        <f>'C4-FinPerf RE'!A13</f>
        <v>Interest earned - external investments</v>
      </c>
      <c r="B13" s="171"/>
      <c r="C13" s="748">
        <v>14116343.539999999</v>
      </c>
      <c r="D13" s="745">
        <v>15260422.42725</v>
      </c>
      <c r="E13" s="733">
        <v>15260422.42725</v>
      </c>
      <c r="F13" s="733">
        <v>973018.17</v>
      </c>
      <c r="G13" s="733">
        <v>7020321.1000000006</v>
      </c>
      <c r="H13" s="733">
        <f t="shared" si="3"/>
        <v>13988720.5583125</v>
      </c>
      <c r="I13" s="44">
        <f t="shared" si="0"/>
        <v>-6968399.4583124993</v>
      </c>
      <c r="J13" s="330">
        <f t="shared" si="2"/>
        <v>-0.49814416045159154</v>
      </c>
      <c r="K13" s="735">
        <f>E13</f>
        <v>15260422.42725</v>
      </c>
    </row>
    <row r="14" spans="1:11" ht="12.75" customHeight="1" x14ac:dyDescent="0.25">
      <c r="A14" s="86" t="str">
        <f>'C4-FinPerf RE'!A14</f>
        <v>Interest earned - outstanding debtors</v>
      </c>
      <c r="B14" s="171"/>
      <c r="C14" s="748">
        <v>292253612.14999998</v>
      </c>
      <c r="D14" s="745">
        <v>202457793.88559997</v>
      </c>
      <c r="E14" s="733">
        <v>202457793.88559997</v>
      </c>
      <c r="F14" s="733">
        <v>12603378.32</v>
      </c>
      <c r="G14" s="733">
        <v>170695997.91999999</v>
      </c>
      <c r="H14" s="733">
        <f t="shared" si="3"/>
        <v>185586311.06179997</v>
      </c>
      <c r="I14" s="44">
        <f t="shared" si="0"/>
        <v>-14890313.141799986</v>
      </c>
      <c r="J14" s="330">
        <f t="shared" si="2"/>
        <v>-8.0233897945423002E-2</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2"/>
        <v/>
      </c>
      <c r="K15" s="735"/>
    </row>
    <row r="16" spans="1:11" ht="12.75" customHeight="1" x14ac:dyDescent="0.25">
      <c r="A16" s="86" t="str">
        <f>'C4-FinPerf RE'!A16</f>
        <v>Fines, penalties and forfeits</v>
      </c>
      <c r="B16" s="171"/>
      <c r="C16" s="748">
        <v>13272582.050000001</v>
      </c>
      <c r="D16" s="745">
        <v>1798551.4436999999</v>
      </c>
      <c r="E16" s="733">
        <v>1798551.4436999999</v>
      </c>
      <c r="F16" s="733">
        <v>16010497.810000001</v>
      </c>
      <c r="G16" s="733">
        <v>16523836.92</v>
      </c>
      <c r="H16" s="733">
        <f t="shared" ref="H16:H20" si="4">E16/12*11</f>
        <v>1648672.1567249999</v>
      </c>
      <c r="I16" s="44">
        <f t="shared" si="0"/>
        <v>14875164.763274999</v>
      </c>
      <c r="J16" s="330">
        <f t="shared" si="2"/>
        <v>9.0225122700099014</v>
      </c>
      <c r="K16" s="735">
        <f t="shared" ref="K16:K20" si="5">E16</f>
        <v>1798551.4436999999</v>
      </c>
    </row>
    <row r="17" spans="1:11" ht="12.75" customHeight="1" x14ac:dyDescent="0.25">
      <c r="A17" s="86" t="str">
        <f>'C4-FinPerf RE'!A17</f>
        <v>Licences and permits</v>
      </c>
      <c r="B17" s="171"/>
      <c r="C17" s="748">
        <v>604456</v>
      </c>
      <c r="D17" s="745">
        <v>1119569.0055</v>
      </c>
      <c r="E17" s="733">
        <v>1119569.0055</v>
      </c>
      <c r="F17" s="733">
        <v>35396.620000000003</v>
      </c>
      <c r="G17" s="733">
        <v>516907.6</v>
      </c>
      <c r="H17" s="733">
        <f t="shared" si="4"/>
        <v>1026271.5883749999</v>
      </c>
      <c r="I17" s="44">
        <f t="shared" si="0"/>
        <v>-509363.98837499996</v>
      </c>
      <c r="J17" s="330">
        <f t="shared" si="2"/>
        <v>-0.49632474887230166</v>
      </c>
      <c r="K17" s="735">
        <f t="shared" si="5"/>
        <v>1119569.0055</v>
      </c>
    </row>
    <row r="18" spans="1:11" ht="12.75" customHeight="1" x14ac:dyDescent="0.25">
      <c r="A18" s="86" t="str">
        <f>'C4-FinPerf RE'!A18</f>
        <v>Agency services</v>
      </c>
      <c r="B18" s="171"/>
      <c r="C18" s="748">
        <v>1090372</v>
      </c>
      <c r="D18" s="745">
        <v>601902.02599999995</v>
      </c>
      <c r="E18" s="733">
        <v>601902.02599999995</v>
      </c>
      <c r="F18" s="733">
        <v>568520</v>
      </c>
      <c r="G18" s="733">
        <v>1966320</v>
      </c>
      <c r="H18" s="733">
        <f t="shared" si="4"/>
        <v>551743.52383333328</v>
      </c>
      <c r="I18" s="44">
        <f t="shared" si="0"/>
        <v>1414576.4761666667</v>
      </c>
      <c r="J18" s="330">
        <f t="shared" si="2"/>
        <v>2.5638297778987105</v>
      </c>
      <c r="K18" s="735">
        <f t="shared" si="5"/>
        <v>601902.02599999995</v>
      </c>
    </row>
    <row r="19" spans="1:11" ht="12.75" customHeight="1" x14ac:dyDescent="0.25">
      <c r="A19" s="86" t="str">
        <f>'C4-FinPerf RE'!A19</f>
        <v>Transfers and subsidies</v>
      </c>
      <c r="B19" s="171"/>
      <c r="C19" s="748">
        <v>637128044</v>
      </c>
      <c r="D19" s="745">
        <v>675483240</v>
      </c>
      <c r="E19" s="733">
        <v>764481240</v>
      </c>
      <c r="F19" s="733">
        <v>5364582.32</v>
      </c>
      <c r="G19" s="733">
        <v>745207087.97000003</v>
      </c>
      <c r="H19" s="733">
        <f t="shared" si="4"/>
        <v>700774470</v>
      </c>
      <c r="I19" s="44">
        <f t="shared" si="0"/>
        <v>44432617.970000029</v>
      </c>
      <c r="J19" s="330">
        <f t="shared" si="2"/>
        <v>6.3405018122306922E-2</v>
      </c>
      <c r="K19" s="735">
        <f t="shared" si="5"/>
        <v>764481240</v>
      </c>
    </row>
    <row r="20" spans="1:11" ht="12.75" customHeight="1" x14ac:dyDescent="0.25">
      <c r="A20" s="86" t="str">
        <f>'C4-FinPerf RE'!A20</f>
        <v>Other revenue</v>
      </c>
      <c r="B20" s="171"/>
      <c r="C20" s="748">
        <v>76138861.760000005</v>
      </c>
      <c r="D20" s="745">
        <v>146451785.14229998</v>
      </c>
      <c r="E20" s="733">
        <v>146451785.14229998</v>
      </c>
      <c r="F20" s="733">
        <v>3651085.75</v>
      </c>
      <c r="G20" s="733">
        <v>66919807.979999997</v>
      </c>
      <c r="H20" s="733">
        <f t="shared" si="4"/>
        <v>134247469.71377498</v>
      </c>
      <c r="I20" s="44">
        <f t="shared" si="0"/>
        <v>-67327661.73377499</v>
      </c>
      <c r="J20" s="330">
        <f t="shared" si="2"/>
        <v>-0.50151903702410394</v>
      </c>
      <c r="K20" s="735">
        <f t="shared" si="5"/>
        <v>146451785.14229998</v>
      </c>
    </row>
    <row r="21" spans="1:11" ht="12.75" customHeight="1" x14ac:dyDescent="0.25">
      <c r="A21" s="39" t="str">
        <f>'C4-FinPerf RE'!A21</f>
        <v>Gains</v>
      </c>
      <c r="B21" s="169"/>
      <c r="C21" s="748"/>
      <c r="D21" s="745"/>
      <c r="E21" s="733"/>
      <c r="F21" s="733"/>
      <c r="G21" s="733"/>
      <c r="H21" s="733"/>
      <c r="I21" s="44">
        <f t="shared" si="0"/>
        <v>0</v>
      </c>
      <c r="J21" s="330" t="str">
        <f t="shared" si="2"/>
        <v/>
      </c>
      <c r="K21" s="735"/>
    </row>
    <row r="22" spans="1:11" ht="12.75" customHeight="1" x14ac:dyDescent="0.25">
      <c r="A22" s="547" t="s">
        <v>134</v>
      </c>
      <c r="B22" s="547"/>
      <c r="C22" s="243">
        <f t="shared" ref="C22:H22" si="6">SUM(C6:C10)+SUM(C12:C21)</f>
        <v>5359930421.4200001</v>
      </c>
      <c r="D22" s="74">
        <f t="shared" si="6"/>
        <v>5917810257.8720617</v>
      </c>
      <c r="E22" s="73">
        <f t="shared" si="6"/>
        <v>6006808257.8720617</v>
      </c>
      <c r="F22" s="73">
        <f t="shared" si="6"/>
        <v>397488173.22000003</v>
      </c>
      <c r="G22" s="73">
        <f t="shared" si="6"/>
        <v>5179845988.04</v>
      </c>
      <c r="H22" s="73">
        <f t="shared" si="6"/>
        <v>5506240903.0493898</v>
      </c>
      <c r="I22" s="73">
        <f>G22-H22</f>
        <v>-326394915.00938988</v>
      </c>
      <c r="J22" s="331">
        <f t="shared" si="2"/>
        <v>-5.9277267514508923E-2</v>
      </c>
      <c r="K22" s="145">
        <f>SUM(K6:K10)+SUM(K12:K21)</f>
        <v>6006808257.8720617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v>1345486985</v>
      </c>
      <c r="D25" s="745">
        <v>1467373084.0741799</v>
      </c>
      <c r="E25" s="733">
        <v>1478324304.2495084</v>
      </c>
      <c r="F25" s="733">
        <v>106056338.99999999</v>
      </c>
      <c r="G25" s="733">
        <v>1234682866.9000008</v>
      </c>
      <c r="H25" s="733">
        <f t="shared" ref="H25:H34" si="7">E25/12*11</f>
        <v>1355130612.2287159</v>
      </c>
      <c r="I25" s="44">
        <f t="shared" ref="I25:I44" si="8">G25-H25</f>
        <v>-120447745.32871509</v>
      </c>
      <c r="J25" s="330">
        <f t="shared" ref="J25:J44" si="9">IF(I25=0,"",I25/H25)</f>
        <v>-8.8882757308995239E-2</v>
      </c>
      <c r="K25" s="735">
        <f t="shared" ref="K25:K34" si="10">E25</f>
        <v>1478324304.2495084</v>
      </c>
    </row>
    <row r="26" spans="1:11" ht="12.75" customHeight="1" x14ac:dyDescent="0.25">
      <c r="A26" s="39" t="str">
        <f>'C4-FinPerf RE'!A26</f>
        <v>Remuneration of councillors</v>
      </c>
      <c r="B26" s="169"/>
      <c r="C26" s="748">
        <v>43759322</v>
      </c>
      <c r="D26" s="745">
        <v>53650401.115479976</v>
      </c>
      <c r="E26" s="733">
        <v>53650401.439999998</v>
      </c>
      <c r="F26" s="733">
        <v>4029090.0599999996</v>
      </c>
      <c r="G26" s="733">
        <v>47610357.609999992</v>
      </c>
      <c r="H26" s="733">
        <f t="shared" si="7"/>
        <v>49179534.653333329</v>
      </c>
      <c r="I26" s="44">
        <f t="shared" si="8"/>
        <v>-1569177.0433333367</v>
      </c>
      <c r="J26" s="330">
        <f t="shared" si="9"/>
        <v>-3.190711450188518E-2</v>
      </c>
      <c r="K26" s="735">
        <f t="shared" si="10"/>
        <v>53650401.439999998</v>
      </c>
    </row>
    <row r="27" spans="1:11" ht="12.75" customHeight="1" x14ac:dyDescent="0.25">
      <c r="A27" s="39" t="str">
        <f>'C4-FinPerf RE'!A27</f>
        <v>Debt impairment</v>
      </c>
      <c r="B27" s="171"/>
      <c r="C27" s="748">
        <v>567918578</v>
      </c>
      <c r="D27" s="745">
        <v>123904143.27200001</v>
      </c>
      <c r="E27" s="733">
        <v>123904143.27200001</v>
      </c>
      <c r="F27" s="733">
        <v>1777203.69</v>
      </c>
      <c r="G27" s="733">
        <v>91118044.349999994</v>
      </c>
      <c r="H27" s="733">
        <f t="shared" si="7"/>
        <v>113578797.99933335</v>
      </c>
      <c r="I27" s="44">
        <f t="shared" si="8"/>
        <v>-22460753.649333358</v>
      </c>
      <c r="J27" s="330">
        <f t="shared" si="9"/>
        <v>-0.19775481027246997</v>
      </c>
      <c r="K27" s="735">
        <f t="shared" si="10"/>
        <v>123904143.27200001</v>
      </c>
    </row>
    <row r="28" spans="1:11" ht="12.75" customHeight="1" x14ac:dyDescent="0.25">
      <c r="A28" s="39" t="str">
        <f>'C4-FinPerf RE'!A28</f>
        <v>Depreciation &amp; asset impairment</v>
      </c>
      <c r="B28" s="171"/>
      <c r="C28" s="748">
        <v>417614093.69000024</v>
      </c>
      <c r="D28" s="745">
        <v>488991448.27473986</v>
      </c>
      <c r="E28" s="733">
        <v>482441448.55050021</v>
      </c>
      <c r="F28" s="733">
        <v>36077072.469999984</v>
      </c>
      <c r="G28" s="733">
        <v>388217050.96000016</v>
      </c>
      <c r="H28" s="733">
        <f t="shared" si="7"/>
        <v>442237994.5046252</v>
      </c>
      <c r="I28" s="44">
        <f t="shared" si="8"/>
        <v>-54020943.544625044</v>
      </c>
      <c r="J28" s="330">
        <f t="shared" si="9"/>
        <v>-0.12215355581362211</v>
      </c>
      <c r="K28" s="735">
        <f t="shared" si="10"/>
        <v>482441448.55050021</v>
      </c>
    </row>
    <row r="29" spans="1:11" ht="12.75" customHeight="1" x14ac:dyDescent="0.25">
      <c r="A29" s="39" t="str">
        <f>'C4-FinPerf RE'!A29</f>
        <v>Finance charges</v>
      </c>
      <c r="B29" s="171"/>
      <c r="C29" s="748">
        <v>43716970</v>
      </c>
      <c r="D29" s="745">
        <v>31793212.220000003</v>
      </c>
      <c r="E29" s="733">
        <v>36505334.219999969</v>
      </c>
      <c r="F29" s="733">
        <v>334317.39</v>
      </c>
      <c r="G29" s="733">
        <v>33216515.189999998</v>
      </c>
      <c r="H29" s="733">
        <f t="shared" si="7"/>
        <v>33463223.03499997</v>
      </c>
      <c r="I29" s="44">
        <f t="shared" si="8"/>
        <v>-246707.84499997273</v>
      </c>
      <c r="J29" s="330">
        <f t="shared" si="9"/>
        <v>-7.3725069680806062E-3</v>
      </c>
      <c r="K29" s="735">
        <f t="shared" si="10"/>
        <v>36505334.219999969</v>
      </c>
    </row>
    <row r="30" spans="1:11" ht="12.75" customHeight="1" x14ac:dyDescent="0.25">
      <c r="A30" s="39" t="str">
        <f>'C4-FinPerf RE'!A30</f>
        <v>Bulk purchases</v>
      </c>
      <c r="B30" s="171"/>
      <c r="C30" s="748">
        <v>1755899645.74</v>
      </c>
      <c r="D30" s="745">
        <v>2608224084.5041752</v>
      </c>
      <c r="E30" s="733">
        <v>2608224084.5041752</v>
      </c>
      <c r="F30" s="733">
        <v>190383047.20999998</v>
      </c>
      <c r="G30" s="733">
        <v>2359269083.5100002</v>
      </c>
      <c r="H30" s="733">
        <f t="shared" si="7"/>
        <v>2390872077.4621606</v>
      </c>
      <c r="I30" s="44">
        <f t="shared" si="8"/>
        <v>-31602993.952160358</v>
      </c>
      <c r="J30" s="330">
        <f t="shared" si="9"/>
        <v>-1.3218186890913041E-2</v>
      </c>
      <c r="K30" s="735">
        <f t="shared" si="10"/>
        <v>2608224084.5041752</v>
      </c>
    </row>
    <row r="31" spans="1:11" ht="12.75" customHeight="1" x14ac:dyDescent="0.25">
      <c r="A31" s="39" t="str">
        <f>'C4-FinPerf RE'!A31</f>
        <v>Other materials</v>
      </c>
      <c r="B31" s="171"/>
      <c r="C31" s="748">
        <v>792388542.00999999</v>
      </c>
      <c r="D31" s="745">
        <v>46574816.042614385</v>
      </c>
      <c r="E31" s="733">
        <v>63710306.143800952</v>
      </c>
      <c r="F31" s="733">
        <v>6020366.4900000002</v>
      </c>
      <c r="G31" s="733">
        <v>48730610.189999983</v>
      </c>
      <c r="H31" s="733">
        <f t="shared" si="7"/>
        <v>58401113.96515087</v>
      </c>
      <c r="I31" s="44">
        <f t="shared" si="8"/>
        <v>-9670503.7751508877</v>
      </c>
      <c r="J31" s="330">
        <f t="shared" si="9"/>
        <v>-0.16558765952515003</v>
      </c>
      <c r="K31" s="735">
        <f t="shared" si="10"/>
        <v>63710306.143800952</v>
      </c>
    </row>
    <row r="32" spans="1:11" ht="12.75" customHeight="1" x14ac:dyDescent="0.25">
      <c r="A32" s="39" t="str">
        <f>'C4-FinPerf RE'!A32</f>
        <v>Contracted services</v>
      </c>
      <c r="B32" s="171"/>
      <c r="C32" s="748">
        <v>31504387.066664875</v>
      </c>
      <c r="D32" s="745">
        <v>463787100.72254992</v>
      </c>
      <c r="E32" s="733">
        <v>491460211.0508498</v>
      </c>
      <c r="F32" s="733">
        <v>49095332.270000003</v>
      </c>
      <c r="G32" s="733">
        <v>452194182.38999975</v>
      </c>
      <c r="H32" s="733">
        <f t="shared" si="7"/>
        <v>450505193.46327901</v>
      </c>
      <c r="I32" s="44">
        <f t="shared" si="8"/>
        <v>1688988.9267207384</v>
      </c>
      <c r="J32" s="330">
        <f t="shared" si="9"/>
        <v>3.7490997911401639E-3</v>
      </c>
      <c r="K32" s="735">
        <f t="shared" si="10"/>
        <v>491460211.0508498</v>
      </c>
    </row>
    <row r="33" spans="1:11" ht="12.75" customHeight="1" x14ac:dyDescent="0.25">
      <c r="A33" s="39" t="str">
        <f>'C4-FinPerf RE'!A33</f>
        <v>Transfers and subsidies</v>
      </c>
      <c r="B33" s="171"/>
      <c r="C33" s="748">
        <v>25306678</v>
      </c>
      <c r="D33" s="745">
        <v>25080461.44304001</v>
      </c>
      <c r="E33" s="733">
        <v>58680462</v>
      </c>
      <c r="F33" s="733">
        <v>3069594.4399999995</v>
      </c>
      <c r="G33" s="733">
        <v>42782679.439999998</v>
      </c>
      <c r="H33" s="733">
        <f t="shared" si="7"/>
        <v>53790423.5</v>
      </c>
      <c r="I33" s="44">
        <f t="shared" si="8"/>
        <v>-11007744.060000002</v>
      </c>
      <c r="J33" s="330">
        <f t="shared" si="9"/>
        <v>-0.20464133471639245</v>
      </c>
      <c r="K33" s="735">
        <f t="shared" si="10"/>
        <v>58680462</v>
      </c>
    </row>
    <row r="34" spans="1:11" ht="12.75" customHeight="1" x14ac:dyDescent="0.25">
      <c r="A34" s="39" t="str">
        <f>'C4-FinPerf RE'!A34</f>
        <v>Other expenditure</v>
      </c>
      <c r="B34" s="171"/>
      <c r="C34" s="748">
        <v>495112178.04333192</v>
      </c>
      <c r="D34" s="745">
        <v>192585810.36394995</v>
      </c>
      <c r="E34" s="733">
        <v>166189163.49623623</v>
      </c>
      <c r="F34" s="733">
        <v>-3114827.090000011</v>
      </c>
      <c r="G34" s="733">
        <v>132477471.36000006</v>
      </c>
      <c r="H34" s="733">
        <f t="shared" si="7"/>
        <v>152340066.53821656</v>
      </c>
      <c r="I34" s="44">
        <f t="shared" si="8"/>
        <v>-19862595.178216502</v>
      </c>
      <c r="J34" s="330">
        <f t="shared" si="9"/>
        <v>-0.13038326442658932</v>
      </c>
      <c r="K34" s="735">
        <f t="shared" si="10"/>
        <v>166189163.49623623</v>
      </c>
    </row>
    <row r="35" spans="1:11" ht="12.75" customHeight="1" x14ac:dyDescent="0.25">
      <c r="A35" s="39" t="str">
        <f>'C4-FinPerf RE'!A35</f>
        <v>Losses</v>
      </c>
      <c r="B35" s="169"/>
      <c r="C35" s="748">
        <v>47941458</v>
      </c>
      <c r="D35" s="745">
        <v>0</v>
      </c>
      <c r="E35" s="733"/>
      <c r="F35" s="733"/>
      <c r="G35" s="733"/>
      <c r="H35" s="733"/>
      <c r="I35" s="44">
        <f t="shared" si="8"/>
        <v>0</v>
      </c>
      <c r="J35" s="330" t="str">
        <f t="shared" si="9"/>
        <v/>
      </c>
      <c r="K35" s="735"/>
    </row>
    <row r="36" spans="1:11" ht="12.75" customHeight="1" x14ac:dyDescent="0.25">
      <c r="A36" s="350" t="s">
        <v>488</v>
      </c>
      <c r="B36" s="569"/>
      <c r="C36" s="243">
        <f t="shared" ref="C36:H36" si="11">SUM(C25:C35)</f>
        <v>5566648837.5499973</v>
      </c>
      <c r="D36" s="74">
        <f t="shared" si="11"/>
        <v>5501964562.0327282</v>
      </c>
      <c r="E36" s="73">
        <f t="shared" si="11"/>
        <v>5563089858.9270697</v>
      </c>
      <c r="F36" s="73">
        <f t="shared" si="11"/>
        <v>393727535.92999989</v>
      </c>
      <c r="G36" s="73">
        <f t="shared" si="11"/>
        <v>4830298861.8999996</v>
      </c>
      <c r="H36" s="73">
        <f t="shared" si="11"/>
        <v>5099499037.3498144</v>
      </c>
      <c r="I36" s="73">
        <f t="shared" si="8"/>
        <v>-269200175.4498148</v>
      </c>
      <c r="J36" s="331">
        <f t="shared" si="9"/>
        <v>-5.2789533536164147E-2</v>
      </c>
      <c r="K36" s="145">
        <f>SUM(K25:K35)</f>
        <v>5563089858.9270697</v>
      </c>
    </row>
    <row r="37" spans="1:11" ht="5.0999999999999996" customHeight="1" x14ac:dyDescent="0.25">
      <c r="A37" s="42"/>
      <c r="B37" s="169"/>
      <c r="C37" s="134"/>
      <c r="D37" s="46"/>
      <c r="E37" s="44"/>
      <c r="F37" s="44"/>
      <c r="G37" s="44"/>
      <c r="H37" s="44"/>
      <c r="I37" s="44">
        <f t="shared" si="8"/>
        <v>0</v>
      </c>
      <c r="J37" s="330"/>
      <c r="K37" s="144"/>
    </row>
    <row r="38" spans="1:11" ht="12.75" customHeight="1" x14ac:dyDescent="0.25">
      <c r="A38" s="87" t="str">
        <f>'C4-FinPerf RE'!A38</f>
        <v>Surplus/(Deficit)</v>
      </c>
      <c r="B38" s="169"/>
      <c r="C38" s="134">
        <f t="shared" ref="C38:H38" si="12">C22-C36</f>
        <v>-206718416.12999725</v>
      </c>
      <c r="D38" s="46">
        <f t="shared" si="12"/>
        <v>415845695.83933353</v>
      </c>
      <c r="E38" s="44">
        <f t="shared" si="12"/>
        <v>443718398.94499207</v>
      </c>
      <c r="F38" s="44">
        <f t="shared" si="12"/>
        <v>3760637.2900001407</v>
      </c>
      <c r="G38" s="44">
        <f t="shared" si="12"/>
        <v>349547126.14000034</v>
      </c>
      <c r="H38" s="44">
        <f t="shared" si="12"/>
        <v>406741865.69957542</v>
      </c>
      <c r="I38" s="44">
        <f t="shared" si="8"/>
        <v>-57194739.559575081</v>
      </c>
      <c r="J38" s="330">
        <f t="shared" si="9"/>
        <v>-0.1406167999480531</v>
      </c>
      <c r="K38" s="144">
        <f>K22-K36</f>
        <v>443718398.94499207</v>
      </c>
    </row>
    <row r="39" spans="1:11" ht="21.6" customHeight="1" x14ac:dyDescent="0.25">
      <c r="A39" s="111" t="str">
        <f>'C4-FinPerf RE'!A39</f>
        <v>Transfers and subsidies - capital (monetary allocations) (National / Provincial and District)</v>
      </c>
      <c r="B39" s="169"/>
      <c r="C39" s="748">
        <v>430113748.5</v>
      </c>
      <c r="D39" s="745">
        <v>525891580.99999982</v>
      </c>
      <c r="E39" s="733">
        <v>525891580.99999982</v>
      </c>
      <c r="F39" s="733">
        <v>31935900.780000001</v>
      </c>
      <c r="G39" s="733">
        <v>408514243.01999998</v>
      </c>
      <c r="H39" s="733">
        <f>E39/12*11</f>
        <v>482067282.58333313</v>
      </c>
      <c r="I39" s="44">
        <f t="shared" si="8"/>
        <v>-73553039.563333154</v>
      </c>
      <c r="J39" s="330">
        <f t="shared" si="9"/>
        <v>-0.15257836866499713</v>
      </c>
      <c r="K39" s="735">
        <f>E39</f>
        <v>525891580.99999982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8"/>
        <v>0</v>
      </c>
      <c r="J40" s="330" t="str">
        <f t="shared" si="9"/>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8"/>
        <v>0</v>
      </c>
      <c r="J41" s="330" t="str">
        <f t="shared" si="9"/>
        <v/>
      </c>
      <c r="K41" s="735"/>
    </row>
    <row r="42" spans="1:11" ht="25.5" x14ac:dyDescent="0.25">
      <c r="A42" s="570" t="str">
        <f>'C4-FinPerf RE'!A42</f>
        <v>Surplus/(Deficit) after capital transfers &amp; contributions</v>
      </c>
      <c r="B42" s="309"/>
      <c r="C42" s="571">
        <f>C38+SUM(C39:C41)</f>
        <v>223395332.37000275</v>
      </c>
      <c r="D42" s="572">
        <f t="shared" ref="D42:K42" si="13">D38+SUM(D39:D41)</f>
        <v>941737276.8393333</v>
      </c>
      <c r="E42" s="514">
        <f t="shared" si="13"/>
        <v>969609979.94499183</v>
      </c>
      <c r="F42" s="514">
        <f t="shared" si="13"/>
        <v>35696538.070000142</v>
      </c>
      <c r="G42" s="514">
        <f t="shared" si="13"/>
        <v>758061369.16000032</v>
      </c>
      <c r="H42" s="514">
        <f t="shared" si="13"/>
        <v>888809148.28290856</v>
      </c>
      <c r="I42" s="514">
        <f t="shared" si="8"/>
        <v>-130747779.12290823</v>
      </c>
      <c r="J42" s="515">
        <f t="shared" si="9"/>
        <v>-0.14710444798582464</v>
      </c>
      <c r="K42" s="573">
        <f t="shared" si="13"/>
        <v>969609979.94499183</v>
      </c>
    </row>
    <row r="43" spans="1:11" ht="12.75" customHeight="1" x14ac:dyDescent="0.25">
      <c r="A43" s="111" t="str">
        <f>'C4-FinPerf RE'!A43</f>
        <v>Taxation</v>
      </c>
      <c r="B43" s="169"/>
      <c r="C43" s="748"/>
      <c r="D43" s="745"/>
      <c r="E43" s="733"/>
      <c r="F43" s="733"/>
      <c r="G43" s="733"/>
      <c r="H43" s="733"/>
      <c r="I43" s="44">
        <f t="shared" si="8"/>
        <v>0</v>
      </c>
      <c r="J43" s="330" t="str">
        <f t="shared" si="9"/>
        <v/>
      </c>
      <c r="K43" s="735"/>
    </row>
    <row r="44" spans="1:11" ht="12.75" customHeight="1" x14ac:dyDescent="0.25">
      <c r="A44" s="53" t="str">
        <f>'C4-FinPerf RE'!A44</f>
        <v>Surplus/(Deficit) after taxation</v>
      </c>
      <c r="B44" s="236"/>
      <c r="C44" s="112">
        <f t="shared" ref="C44:H44" si="14">C42-C43</f>
        <v>223395332.37000275</v>
      </c>
      <c r="D44" s="56">
        <f t="shared" si="14"/>
        <v>941737276.8393333</v>
      </c>
      <c r="E44" s="55">
        <f t="shared" si="14"/>
        <v>969609979.94499183</v>
      </c>
      <c r="F44" s="55">
        <f t="shared" si="14"/>
        <v>35696538.070000142</v>
      </c>
      <c r="G44" s="55">
        <f t="shared" si="14"/>
        <v>758061369.16000032</v>
      </c>
      <c r="H44" s="55">
        <f t="shared" si="14"/>
        <v>888809148.28290856</v>
      </c>
      <c r="I44" s="55">
        <f t="shared" si="8"/>
        <v>-130747779.12290823</v>
      </c>
      <c r="J44" s="332">
        <f t="shared" si="9"/>
        <v>-0.14710444798582464</v>
      </c>
      <c r="K44" s="235">
        <f>K42-K43</f>
        <v>969609979.94499183</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"&amp;S71Q&amp; " - "&amp;Head57</f>
        <v>KZN225 Msunduzi - Supporting Table SC11 Monthly Budget Statement - summary of municipal entities - M11 May</v>
      </c>
      <c r="B1" s="1056"/>
      <c r="C1" s="1056"/>
      <c r="D1" s="1056"/>
      <c r="E1" s="1056"/>
      <c r="F1" s="1056"/>
      <c r="G1" s="1056"/>
      <c r="H1" s="1056"/>
      <c r="I1" s="1056"/>
      <c r="J1" s="1056"/>
      <c r="K1" s="1056"/>
    </row>
    <row r="2" spans="1:11" x14ac:dyDescent="0.25">
      <c r="A2" s="1045" t="str">
        <f>desc</f>
        <v>Description</v>
      </c>
      <c r="B2" s="1038" t="str">
        <f>head27</f>
        <v>Ref</v>
      </c>
      <c r="C2" s="158" t="str">
        <f>Head1</f>
        <v>2019/20</v>
      </c>
      <c r="D2" s="1040" t="str">
        <f>Head2</f>
        <v>Budget Year 2020/21</v>
      </c>
      <c r="E2" s="1041"/>
      <c r="F2" s="1041"/>
      <c r="G2" s="1041"/>
      <c r="H2" s="1041"/>
      <c r="I2" s="1041"/>
      <c r="J2" s="1041"/>
      <c r="K2" s="1042"/>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K32" sqref="K32"/>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6" t="str">
        <f>muni&amp; " - "&amp;S71R&amp; " - "&amp;Head57</f>
        <v>KZN225 Msunduzi - Supporting Table SC12 Consolidated Monthly Budget Statement - capital expenditure trend  - M11 May</v>
      </c>
      <c r="B1" s="1056"/>
      <c r="C1" s="1056"/>
      <c r="D1" s="1056"/>
      <c r="E1" s="1056"/>
      <c r="F1" s="1056"/>
      <c r="G1" s="1056"/>
      <c r="H1" s="1056"/>
      <c r="I1" s="1056"/>
      <c r="J1" s="1056"/>
    </row>
    <row r="2" spans="1:10" x14ac:dyDescent="0.25">
      <c r="A2" s="1045" t="s">
        <v>887</v>
      </c>
      <c r="B2" s="139" t="str">
        <f>Head1</f>
        <v>2019/20</v>
      </c>
      <c r="C2" s="1040" t="str">
        <f>Head2</f>
        <v>Budget Year 2020/21</v>
      </c>
      <c r="D2" s="1041"/>
      <c r="E2" s="1041"/>
      <c r="F2" s="1041"/>
      <c r="G2" s="1041"/>
      <c r="H2" s="1041"/>
      <c r="I2" s="1041"/>
      <c r="J2" s="1042"/>
    </row>
    <row r="3" spans="1:10" ht="38.25" x14ac:dyDescent="0.25">
      <c r="A3" s="1046"/>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936648.53999999957</v>
      </c>
      <c r="F6" s="408">
        <f>IF(E6&gt;0,E6,"")</f>
        <v>936648.53999999957</v>
      </c>
      <c r="G6" s="408">
        <f>IF(D6&gt;0,D6,C6)</f>
        <v>48407631.75</v>
      </c>
      <c r="H6" s="44">
        <f t="shared" ref="H6:H16" si="0">IF(F6="",0,G6-F6)</f>
        <v>47470983.210000001</v>
      </c>
      <c r="I6" s="124">
        <f t="shared" ref="I6:I16" si="1">IF(F6="","",IF(H6=0,"",H6/G6))</f>
        <v>0.9806508084337342</v>
      </c>
      <c r="J6" s="674">
        <f t="shared" ref="J6:J16" si="2">IF(F6="","",F6/$C$18)</f>
        <v>1.6124326305221482E-3</v>
      </c>
    </row>
    <row r="7" spans="1:10" ht="12.75" customHeight="1" x14ac:dyDescent="0.25">
      <c r="A7" s="39" t="s">
        <v>905</v>
      </c>
      <c r="B7" s="748">
        <v>66093583.333333336</v>
      </c>
      <c r="C7" s="753">
        <v>48407631.75</v>
      </c>
      <c r="D7" s="733"/>
      <c r="E7" s="733">
        <v>28293360.050000001</v>
      </c>
      <c r="F7" s="408">
        <f>IF(E7&gt;0,E7+F6,"")</f>
        <v>29230008.59</v>
      </c>
      <c r="G7" s="408">
        <f>IF(D7&gt;0,D7+D6,C7+C6)</f>
        <v>96815263.5</v>
      </c>
      <c r="H7" s="44">
        <f t="shared" si="0"/>
        <v>67585254.909999996</v>
      </c>
      <c r="I7" s="124">
        <f t="shared" si="1"/>
        <v>0.69808470758332442</v>
      </c>
      <c r="J7" s="674">
        <f t="shared" si="2"/>
        <v>5.0319215402779269E-2</v>
      </c>
    </row>
    <row r="8" spans="1:10" ht="12.75" customHeight="1" x14ac:dyDescent="0.25">
      <c r="A8" s="39" t="s">
        <v>541</v>
      </c>
      <c r="B8" s="748">
        <v>66093583.333333336</v>
      </c>
      <c r="C8" s="753">
        <v>48407631.75</v>
      </c>
      <c r="D8" s="733"/>
      <c r="E8" s="733">
        <v>51276404.180000007</v>
      </c>
      <c r="F8" s="408">
        <f t="shared" ref="F8:F17" si="3">IF(E8&gt;0,E8+F7,"")</f>
        <v>80506412.770000011</v>
      </c>
      <c r="G8" s="408">
        <f>IF(D8&gt;0,D8+G7,C8+G7)</f>
        <v>145222895.25</v>
      </c>
      <c r="H8" s="44">
        <f t="shared" si="0"/>
        <v>64716482.479999989</v>
      </c>
      <c r="I8" s="124">
        <f t="shared" si="1"/>
        <v>0.44563553404296963</v>
      </c>
      <c r="J8" s="674">
        <f t="shared" si="2"/>
        <v>0.13859111648925759</v>
      </c>
    </row>
    <row r="9" spans="1:10" ht="12.75" customHeight="1" x14ac:dyDescent="0.25">
      <c r="A9" s="39" t="s">
        <v>906</v>
      </c>
      <c r="B9" s="748">
        <v>66093583.333333336</v>
      </c>
      <c r="C9" s="753">
        <v>48407631.75</v>
      </c>
      <c r="D9" s="733"/>
      <c r="E9" s="733">
        <v>34751661.439999998</v>
      </c>
      <c r="F9" s="408">
        <f t="shared" si="3"/>
        <v>115258074.21000001</v>
      </c>
      <c r="G9" s="408">
        <f t="shared" ref="G9:G17" si="4">IF(D9&gt;0,D9+G8,C9+G8)</f>
        <v>193630527</v>
      </c>
      <c r="H9" s="44">
        <f t="shared" si="0"/>
        <v>78372452.789999992</v>
      </c>
      <c r="I9" s="124">
        <f t="shared" si="1"/>
        <v>0.40475256667560477</v>
      </c>
      <c r="J9" s="674">
        <f t="shared" si="2"/>
        <v>0.19841581110813175</v>
      </c>
    </row>
    <row r="10" spans="1:10" ht="12.75" customHeight="1" x14ac:dyDescent="0.25">
      <c r="A10" s="39" t="s">
        <v>907</v>
      </c>
      <c r="B10" s="748">
        <v>66093583.333333336</v>
      </c>
      <c r="C10" s="753">
        <v>48407631.75</v>
      </c>
      <c r="D10" s="733"/>
      <c r="E10" s="733">
        <v>64917006.57</v>
      </c>
      <c r="F10" s="408">
        <f t="shared" si="3"/>
        <v>180175080.78</v>
      </c>
      <c r="G10" s="408">
        <f t="shared" si="4"/>
        <v>242038158.75</v>
      </c>
      <c r="H10" s="44">
        <f t="shared" si="0"/>
        <v>61863077.969999999</v>
      </c>
      <c r="I10" s="124">
        <f t="shared" si="1"/>
        <v>0.25559225160813615</v>
      </c>
      <c r="J10" s="674">
        <f t="shared" si="2"/>
        <v>0.31016989516327659</v>
      </c>
    </row>
    <row r="11" spans="1:10" ht="12.75" customHeight="1" x14ac:dyDescent="0.25">
      <c r="A11" s="39" t="s">
        <v>908</v>
      </c>
      <c r="B11" s="748">
        <v>66093583.333333336</v>
      </c>
      <c r="C11" s="753">
        <v>48407631.75</v>
      </c>
      <c r="D11" s="733"/>
      <c r="E11" s="733">
        <v>66421825.969999984</v>
      </c>
      <c r="F11" s="408">
        <f t="shared" si="3"/>
        <v>246596906.75</v>
      </c>
      <c r="G11" s="408">
        <f t="shared" si="4"/>
        <v>290445790.5</v>
      </c>
      <c r="H11" s="44">
        <f t="shared" si="0"/>
        <v>43848883.75</v>
      </c>
      <c r="I11" s="124">
        <f t="shared" si="1"/>
        <v>0.15097097353180611</v>
      </c>
      <c r="J11" s="674">
        <f t="shared" si="2"/>
        <v>0.42451451323409695</v>
      </c>
    </row>
    <row r="12" spans="1:10" ht="12.75" customHeight="1" x14ac:dyDescent="0.25">
      <c r="A12" s="39" t="s">
        <v>909</v>
      </c>
      <c r="B12" s="748">
        <v>66093583.333333336</v>
      </c>
      <c r="C12" s="753">
        <v>48407631.75</v>
      </c>
      <c r="D12" s="1001"/>
      <c r="E12" s="733">
        <v>4048843.38</v>
      </c>
      <c r="F12" s="408">
        <f t="shared" si="3"/>
        <v>250645750.13</v>
      </c>
      <c r="G12" s="408">
        <f t="shared" si="4"/>
        <v>338853422.25</v>
      </c>
      <c r="H12" s="44">
        <f t="shared" si="0"/>
        <v>88207672.120000005</v>
      </c>
      <c r="I12" s="124">
        <f t="shared" si="1"/>
        <v>0.26031217726619849</v>
      </c>
      <c r="J12" s="674">
        <f t="shared" si="2"/>
        <v>0.43148456326138424</v>
      </c>
    </row>
    <row r="13" spans="1:10" ht="12.75" customHeight="1" x14ac:dyDescent="0.25">
      <c r="A13" s="39" t="s">
        <v>910</v>
      </c>
      <c r="B13" s="748">
        <v>66093583.333333336</v>
      </c>
      <c r="C13" s="753">
        <v>48407631.75</v>
      </c>
      <c r="D13" s="733"/>
      <c r="E13" s="733">
        <v>35188377.060000002</v>
      </c>
      <c r="F13" s="408">
        <f t="shared" si="3"/>
        <v>285834127.19</v>
      </c>
      <c r="G13" s="408">
        <f t="shared" si="4"/>
        <v>387261054</v>
      </c>
      <c r="H13" s="44">
        <f t="shared" si="0"/>
        <v>101426926.81</v>
      </c>
      <c r="I13" s="124">
        <f t="shared" si="1"/>
        <v>0.26190840974677509</v>
      </c>
      <c r="J13" s="674">
        <f t="shared" si="2"/>
        <v>0.49206106016881657</v>
      </c>
    </row>
    <row r="14" spans="1:10" ht="12.75" customHeight="1" x14ac:dyDescent="0.25">
      <c r="A14" s="39" t="s">
        <v>911</v>
      </c>
      <c r="B14" s="748">
        <v>66093583.333333336</v>
      </c>
      <c r="C14" s="753">
        <v>48407631.75</v>
      </c>
      <c r="D14" s="733"/>
      <c r="E14" s="733">
        <v>30125543.949999999</v>
      </c>
      <c r="F14" s="408">
        <f t="shared" si="3"/>
        <v>315959671.13999999</v>
      </c>
      <c r="G14" s="408">
        <f t="shared" si="4"/>
        <v>435668685.75</v>
      </c>
      <c r="H14" s="44">
        <f t="shared" si="0"/>
        <v>119709014.61000001</v>
      </c>
      <c r="I14" s="124">
        <f t="shared" si="1"/>
        <v>0.27477075705801979</v>
      </c>
      <c r="J14" s="674">
        <f t="shared" si="2"/>
        <v>0.54392193220648521</v>
      </c>
    </row>
    <row r="15" spans="1:10" ht="12.75" customHeight="1" x14ac:dyDescent="0.25">
      <c r="A15" s="39" t="s">
        <v>912</v>
      </c>
      <c r="B15" s="748">
        <v>66093583.333333336</v>
      </c>
      <c r="C15" s="753">
        <v>48407631.75</v>
      </c>
      <c r="D15" s="733"/>
      <c r="E15" s="733">
        <v>69137296.340000004</v>
      </c>
      <c r="F15" s="408">
        <f t="shared" si="3"/>
        <v>385096967.48000002</v>
      </c>
      <c r="G15" s="408">
        <f t="shared" si="4"/>
        <v>484076317.5</v>
      </c>
      <c r="H15" s="44">
        <f t="shared" si="0"/>
        <v>98979350.019999981</v>
      </c>
      <c r="I15" s="124">
        <f t="shared" si="1"/>
        <v>0.20447054822094241</v>
      </c>
      <c r="J15" s="675">
        <f t="shared" si="2"/>
        <v>0.66294120981588134</v>
      </c>
    </row>
    <row r="16" spans="1:10" ht="12.75" customHeight="1" x14ac:dyDescent="0.25">
      <c r="A16" s="39" t="s">
        <v>913</v>
      </c>
      <c r="B16" s="748">
        <v>66093583.333333336</v>
      </c>
      <c r="C16" s="753">
        <v>48407631.75</v>
      </c>
      <c r="D16" s="733"/>
      <c r="E16" s="733">
        <v>35226258.649999999</v>
      </c>
      <c r="F16" s="408">
        <f t="shared" si="3"/>
        <v>420323226.13</v>
      </c>
      <c r="G16" s="408">
        <f t="shared" si="4"/>
        <v>532483949.25</v>
      </c>
      <c r="H16" s="44">
        <f t="shared" si="0"/>
        <v>112160723.12</v>
      </c>
      <c r="I16" s="124">
        <f t="shared" si="1"/>
        <v>0.21063681502133091</v>
      </c>
      <c r="J16" s="675">
        <f t="shared" si="2"/>
        <v>0.72358291956377996</v>
      </c>
    </row>
    <row r="17" spans="1:10" ht="12.75" customHeight="1" x14ac:dyDescent="0.25">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793123000.00000012</v>
      </c>
      <c r="C18" s="265">
        <f>SUM(C6:C17)</f>
        <v>580891581</v>
      </c>
      <c r="D18" s="76">
        <f>SUM(D6:D17)</f>
        <v>0</v>
      </c>
      <c r="E18" s="76">
        <f>SUM(E6:E17)</f>
        <v>420323226.13</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6" t="s">
        <v>642</v>
      </c>
      <c r="B1" s="1007"/>
      <c r="C1" s="1007"/>
      <c r="D1" s="1008"/>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M11 May</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11" t="s">
        <v>751</v>
      </c>
      <c r="B72" s="1012"/>
      <c r="C72" s="1012"/>
      <c r="D72" s="1013"/>
    </row>
    <row r="73" spans="1:6" x14ac:dyDescent="0.2">
      <c r="A73" s="730" t="s">
        <v>657</v>
      </c>
      <c r="B73" s="731" t="str">
        <f>'Lookup and lists'!B27</f>
        <v>KZN225 Msunduzi</v>
      </c>
      <c r="C73" s="731"/>
      <c r="D73" s="6"/>
    </row>
    <row r="74" spans="1:6" x14ac:dyDescent="0.2">
      <c r="A74" s="730" t="s">
        <v>82</v>
      </c>
      <c r="B74" s="732">
        <v>1</v>
      </c>
      <c r="C74" s="731" t="s">
        <v>152</v>
      </c>
      <c r="D74" s="6">
        <v>2</v>
      </c>
    </row>
    <row r="75" spans="1:6" x14ac:dyDescent="0.2">
      <c r="A75" s="647" t="str">
        <f>IF((MuniEntities=1)*(MuniType=2),"YES","NO")</f>
        <v>YES</v>
      </c>
      <c r="B75" s="372" t="s">
        <v>624</v>
      </c>
      <c r="C75" s="589"/>
      <c r="D75" s="6"/>
    </row>
    <row r="76" spans="1:6" x14ac:dyDescent="0.2">
      <c r="A76" s="1009" t="s">
        <v>794</v>
      </c>
      <c r="B76" s="1010"/>
      <c r="C76" s="369"/>
      <c r="D76" s="18"/>
    </row>
    <row r="77" spans="1:6" x14ac:dyDescent="0.2">
      <c r="A77" s="11" t="s">
        <v>636</v>
      </c>
      <c r="B77" s="412" t="str">
        <f t="shared" ref="B77:B83" si="0">IF(Consolques="YES",E77,F77)</f>
        <v>Table C1 Consolidated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 xml:space="preserve">Table C3 Consolidated Monthly Budget Statement - Financial Performance (revenue and expenditure by municipal vote) </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 xml:space="preserve">Table C2 Consolidated Monthly Budget Statement - Financial Performance (functional classification) </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 xml:space="preserve">Table C4 Consolidated Monthly Budget Statement - Financial Performance (revenue and expenditure) </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 xml:space="preserve">Table C5 Consolidated Monthly Budget Statement - Capital Expenditure (municipal vote, functional classification and funding </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 xml:space="preserve">Table C6 Consolidated Monthly Budget Statement - Financial Position </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Consolidated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 xml:space="preserve">Supporting Table SC10 Monthly Budget Statement  - Parent Municipality Financial Performance (revenue and expenditure) </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Supporting Table SC11 Monthly Budget Statement - summary of municipal entities</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 xml:space="preserve">Supporting Table SC12 Consolidated Monthly Budget Statement - capital expenditure trend </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Consolidated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Consolidated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Consolidated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Consolidated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Consolidated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5" activePane="bottomRight" state="frozen"/>
      <selection pane="topRight"/>
      <selection pane="bottomLeft"/>
      <selection pane="bottomRight" activeCell="D172" sqref="D172"/>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"&amp;S71Sa&amp; " - "&amp;Head57</f>
        <v>KZN225 Msunduzi - Supporting Table SC13a Consolidated Monthly Budget Statement - capital expenditure on new assets by asset class - M11 May</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0</v>
      </c>
      <c r="F7" s="102">
        <f t="shared" si="0"/>
        <v>16020372.389999997</v>
      </c>
      <c r="G7" s="102">
        <f t="shared" si="0"/>
        <v>213899564.61000001</v>
      </c>
      <c r="H7" s="102">
        <f t="shared" si="0"/>
        <v>0</v>
      </c>
      <c r="I7" s="101">
        <f t="shared" ref="I7:I37" si="1">H7-G7</f>
        <v>-213899564.61000001</v>
      </c>
      <c r="J7" s="579" t="e">
        <f t="shared" ref="J7:J37" si="2">IF(I7=0,"",I7/H7)</f>
        <v>#DIV/0!</v>
      </c>
      <c r="K7" s="603">
        <f>K8+K13+K17+K27+K38+K45+K53+K63+K69</f>
        <v>0</v>
      </c>
    </row>
    <row r="8" spans="1:11" ht="12.75" customHeight="1" x14ac:dyDescent="0.25">
      <c r="A8" s="518" t="s">
        <v>1216</v>
      </c>
      <c r="B8" s="169"/>
      <c r="C8" s="677">
        <f t="shared" ref="C8:H8" si="3">SUM(C9:C12)</f>
        <v>0</v>
      </c>
      <c r="D8" s="609">
        <f t="shared" si="3"/>
        <v>10845780.900911285</v>
      </c>
      <c r="E8" s="608">
        <f t="shared" si="3"/>
        <v>0</v>
      </c>
      <c r="F8" s="608">
        <f t="shared" si="3"/>
        <v>6915480.7699999968</v>
      </c>
      <c r="G8" s="608">
        <f t="shared" si="3"/>
        <v>116896221.88</v>
      </c>
      <c r="H8" s="608">
        <f t="shared" si="3"/>
        <v>0</v>
      </c>
      <c r="I8" s="258">
        <f t="shared" si="1"/>
        <v>-116896221.88</v>
      </c>
      <c r="J8" s="575" t="e">
        <f t="shared" si="2"/>
        <v>#DIV/0!</v>
      </c>
      <c r="K8" s="610">
        <f>SUM(K9:K12)</f>
        <v>0</v>
      </c>
    </row>
    <row r="9" spans="1:11" ht="12.75" customHeight="1" x14ac:dyDescent="0.25">
      <c r="A9" s="574" t="s">
        <v>168</v>
      </c>
      <c r="B9" s="169"/>
      <c r="C9" s="748"/>
      <c r="D9" s="745">
        <v>10845780.900911285</v>
      </c>
      <c r="E9" s="733"/>
      <c r="F9" s="733"/>
      <c r="G9" s="733">
        <v>5018068</v>
      </c>
      <c r="H9" s="733"/>
      <c r="I9" s="258">
        <f t="shared" si="1"/>
        <v>-5018068</v>
      </c>
      <c r="J9" s="575" t="e">
        <f t="shared" si="2"/>
        <v>#DIV/0!</v>
      </c>
      <c r="K9" s="735">
        <f>E9</f>
        <v>0</v>
      </c>
    </row>
    <row r="10" spans="1:11" ht="12.75" customHeight="1" x14ac:dyDescent="0.25">
      <c r="A10" s="574" t="s">
        <v>1217</v>
      </c>
      <c r="B10" s="169"/>
      <c r="C10" s="748"/>
      <c r="D10" s="745"/>
      <c r="E10" s="733"/>
      <c r="F10" s="733">
        <v>6915480.7699999968</v>
      </c>
      <c r="G10" s="733">
        <v>111878153.88</v>
      </c>
      <c r="H10" s="733"/>
      <c r="I10" s="258">
        <f t="shared" si="1"/>
        <v>-111878153.88</v>
      </c>
      <c r="J10" s="575" t="e">
        <f t="shared" si="2"/>
        <v>#DIV/0!</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v>133651704.65022203</v>
      </c>
      <c r="E18" s="733"/>
      <c r="F18" s="733"/>
      <c r="G18" s="733"/>
      <c r="H18" s="733">
        <f>E18/12*8</f>
        <v>0</v>
      </c>
      <c r="I18" s="258">
        <f t="shared" si="1"/>
        <v>0</v>
      </c>
      <c r="J18" s="575" t="str">
        <f t="shared" si="2"/>
        <v/>
      </c>
      <c r="K18" s="735">
        <f>E18</f>
        <v>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4904711.16</v>
      </c>
      <c r="G27" s="408">
        <f t="shared" si="6"/>
        <v>56460753.859999999</v>
      </c>
      <c r="H27" s="408">
        <f t="shared" si="6"/>
        <v>0</v>
      </c>
      <c r="I27" s="258">
        <f t="shared" si="1"/>
        <v>-56460753.859999999</v>
      </c>
      <c r="J27" s="575" t="e">
        <f t="shared" si="2"/>
        <v>#DIV/0!</v>
      </c>
      <c r="K27" s="642">
        <f>SUM(K28:K37)</f>
        <v>0</v>
      </c>
    </row>
    <row r="28" spans="1:11" ht="12.75" customHeight="1" x14ac:dyDescent="0.25">
      <c r="A28" s="574" t="s">
        <v>1234</v>
      </c>
      <c r="B28" s="169"/>
      <c r="C28" s="748"/>
      <c r="D28" s="745"/>
      <c r="E28" s="733"/>
      <c r="F28" s="733"/>
      <c r="G28" s="733">
        <v>3824813.3</v>
      </c>
      <c r="H28" s="733"/>
      <c r="I28" s="258">
        <f t="shared" si="1"/>
        <v>-3824813.3</v>
      </c>
      <c r="J28" s="575" t="e">
        <f t="shared" si="2"/>
        <v>#DIV/0!</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v>123517.66</v>
      </c>
      <c r="G30" s="733">
        <v>13901767.460000001</v>
      </c>
      <c r="H30" s="733"/>
      <c r="I30" s="258">
        <f t="shared" si="1"/>
        <v>-13901767.460000001</v>
      </c>
      <c r="J30" s="575" t="e">
        <f t="shared" si="2"/>
        <v>#DIV/0!</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4781193.5</v>
      </c>
      <c r="G34" s="733">
        <v>38734173.100000001</v>
      </c>
      <c r="H34" s="733"/>
      <c r="I34" s="258">
        <f t="shared" si="1"/>
        <v>-38734173.100000001</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0</v>
      </c>
      <c r="F38" s="408">
        <f t="shared" si="7"/>
        <v>4200180.46</v>
      </c>
      <c r="G38" s="408">
        <f t="shared" si="7"/>
        <v>40542588.869999997</v>
      </c>
      <c r="H38" s="408">
        <f t="shared" si="7"/>
        <v>0</v>
      </c>
      <c r="I38" s="258">
        <f t="shared" ref="I38:I44" si="8">H38-G38</f>
        <v>-40542588.869999997</v>
      </c>
      <c r="J38" s="575" t="e">
        <f t="shared" ref="J38:J44" si="9">IF(I38=0,"",I38/H38)</f>
        <v>#DIV/0!</v>
      </c>
      <c r="K38" s="642">
        <f>SUM(K39:K44)</f>
        <v>0</v>
      </c>
    </row>
    <row r="39" spans="1:11" ht="12.75" customHeight="1" x14ac:dyDescent="0.25">
      <c r="A39" s="574" t="s">
        <v>1244</v>
      </c>
      <c r="B39" s="169"/>
      <c r="C39" s="748"/>
      <c r="D39" s="745"/>
      <c r="E39" s="733"/>
      <c r="F39" s="733">
        <v>2153519.62</v>
      </c>
      <c r="G39" s="733">
        <v>17606010.449999999</v>
      </c>
      <c r="H39" s="733"/>
      <c r="I39" s="258">
        <f t="shared" si="8"/>
        <v>-17606010.449999999</v>
      </c>
      <c r="J39" s="575" t="e">
        <f t="shared" si="9"/>
        <v>#DIV/0!</v>
      </c>
      <c r="K39" s="735"/>
    </row>
    <row r="40" spans="1:11" ht="12.75" customHeight="1" x14ac:dyDescent="0.25">
      <c r="A40" s="574" t="s">
        <v>135</v>
      </c>
      <c r="B40" s="169"/>
      <c r="C40" s="748"/>
      <c r="D40" s="745">
        <v>48520598.76723469</v>
      </c>
      <c r="E40" s="733" t="s">
        <v>1475</v>
      </c>
      <c r="F40" s="733">
        <v>2046660.8399999999</v>
      </c>
      <c r="G40" s="733">
        <v>22936578.419999998</v>
      </c>
      <c r="H40" s="733"/>
      <c r="I40" s="258">
        <f>H40-G40</f>
        <v>-22936578.419999998</v>
      </c>
      <c r="J40" s="575" t="e">
        <f>IF(I40=0,"",I40/H40)</f>
        <v>#DIV/0!</v>
      </c>
      <c r="K40" s="735" t="str">
        <f>E40</f>
        <v xml:space="preserve"> </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c r="G42" s="733"/>
      <c r="H42" s="733"/>
      <c r="I42" s="258">
        <f>H42-G42</f>
        <v>0</v>
      </c>
      <c r="J42" s="575" t="str">
        <f>IF(I42=0,"",I42/H42)</f>
        <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2500000</v>
      </c>
      <c r="F75" s="578">
        <f t="shared" si="17"/>
        <v>1611593.1800000002</v>
      </c>
      <c r="G75" s="578">
        <f t="shared" si="17"/>
        <v>5421191.3900000015</v>
      </c>
      <c r="H75" s="578">
        <f t="shared" si="17"/>
        <v>2291666.666666667</v>
      </c>
      <c r="I75" s="578">
        <f>H75-G75</f>
        <v>-3129524.7233333346</v>
      </c>
      <c r="J75" s="579">
        <f t="shared" si="16"/>
        <v>-1.3656107883636368</v>
      </c>
      <c r="K75" s="580">
        <f>+K76+K99</f>
        <v>2500000</v>
      </c>
    </row>
    <row r="76" spans="1:11" ht="12.75" customHeight="1" x14ac:dyDescent="0.25">
      <c r="A76" s="518" t="s">
        <v>1268</v>
      </c>
      <c r="B76" s="169"/>
      <c r="C76" s="648">
        <f t="shared" ref="C76:H76" si="18">SUM(C77:C98)</f>
        <v>0</v>
      </c>
      <c r="D76" s="649">
        <f t="shared" si="18"/>
        <v>39558111.673645303</v>
      </c>
      <c r="E76" s="408">
        <f t="shared" si="18"/>
        <v>2500000</v>
      </c>
      <c r="F76" s="408">
        <f t="shared" si="18"/>
        <v>1611593.1800000002</v>
      </c>
      <c r="G76" s="408">
        <f>SUM(G77:G98)</f>
        <v>5421191.3900000015</v>
      </c>
      <c r="H76" s="408">
        <f t="shared" si="18"/>
        <v>2291666.666666667</v>
      </c>
      <c r="I76" s="258">
        <f t="shared" ref="I76:I87" si="19">H76-G76</f>
        <v>-3129524.7233333346</v>
      </c>
      <c r="J76" s="575">
        <f t="shared" ref="J76:J87" si="20">IF(I76=0,"",I76/H76)</f>
        <v>-1.3656107883636368</v>
      </c>
      <c r="K76" s="642">
        <f>SUM(K77:K98)</f>
        <v>2500000</v>
      </c>
    </row>
    <row r="77" spans="1:11" ht="12.75" customHeight="1" x14ac:dyDescent="0.25">
      <c r="A77" s="574" t="s">
        <v>1269</v>
      </c>
      <c r="B77" s="169"/>
      <c r="C77" s="748"/>
      <c r="D77" s="753">
        <v>37464350.795641594</v>
      </c>
      <c r="E77" s="748"/>
      <c r="F77" s="733">
        <v>597484.87</v>
      </c>
      <c r="G77" s="733">
        <v>3740437.7600000007</v>
      </c>
      <c r="H77" s="733"/>
      <c r="I77" s="44" t="e">
        <f>H77-#REF!</f>
        <v>#REF!</v>
      </c>
      <c r="J77" s="124" t="e">
        <f t="shared" si="20"/>
        <v>#REF!</v>
      </c>
      <c r="K77" s="735">
        <f>E77</f>
        <v>0</v>
      </c>
    </row>
    <row r="78" spans="1:11" ht="12.75" customHeight="1" x14ac:dyDescent="0.25">
      <c r="A78" s="574" t="s">
        <v>1270</v>
      </c>
      <c r="B78" s="169"/>
      <c r="C78" s="748"/>
      <c r="D78" s="753"/>
      <c r="E78" s="733"/>
      <c r="F78" s="733"/>
      <c r="G78" s="733"/>
      <c r="H78" s="733"/>
      <c r="I78" s="44">
        <f t="shared" si="19"/>
        <v>0</v>
      </c>
      <c r="J78" s="124" t="str">
        <f t="shared" si="20"/>
        <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c r="F84" s="733"/>
      <c r="G84" s="733"/>
      <c r="H84" s="733"/>
      <c r="I84" s="44">
        <f t="shared" si="19"/>
        <v>0</v>
      </c>
      <c r="J84" s="124" t="str">
        <f t="shared" si="20"/>
        <v/>
      </c>
      <c r="K84" s="735">
        <f>E84</f>
        <v>0</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v>91025.5</v>
      </c>
      <c r="G87" s="733">
        <v>216025.5</v>
      </c>
      <c r="H87" s="733"/>
      <c r="I87" s="44">
        <f t="shared" si="19"/>
        <v>-216025.5</v>
      </c>
      <c r="J87" s="124" t="e">
        <f t="shared" si="20"/>
        <v>#DIV/0!</v>
      </c>
      <c r="K87" s="735"/>
    </row>
    <row r="88" spans="1:11" ht="12.75" customHeight="1" x14ac:dyDescent="0.25">
      <c r="A88" s="574" t="s">
        <v>166</v>
      </c>
      <c r="B88" s="169"/>
      <c r="C88" s="748"/>
      <c r="D88" s="753">
        <v>737513.10126196733</v>
      </c>
      <c r="E88" s="733"/>
      <c r="F88" s="733"/>
      <c r="G88" s="733"/>
      <c r="H88" s="733"/>
      <c r="I88" s="44">
        <f t="shared" ref="I88:I133" si="21">H88-G88</f>
        <v>0</v>
      </c>
      <c r="J88" s="124" t="str">
        <f t="shared" ref="J88:J119" si="22">IF(I88=0,"",I88/H88)</f>
        <v/>
      </c>
      <c r="K88" s="735">
        <f>E88</f>
        <v>0</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c r="G90" s="733"/>
      <c r="H90" s="733"/>
      <c r="I90" s="44">
        <f t="shared" si="21"/>
        <v>0</v>
      </c>
      <c r="J90" s="124" t="str">
        <f t="shared" si="22"/>
        <v/>
      </c>
      <c r="K90" s="735"/>
    </row>
    <row r="91" spans="1:11" ht="12.75" customHeight="1" x14ac:dyDescent="0.25">
      <c r="A91" s="574" t="s">
        <v>1280</v>
      </c>
      <c r="B91" s="169"/>
      <c r="C91" s="748"/>
      <c r="D91" s="753"/>
      <c r="E91" s="733"/>
      <c r="F91" s="733"/>
      <c r="G91" s="733"/>
      <c r="H91" s="733"/>
      <c r="I91" s="44">
        <f t="shared" si="21"/>
        <v>0</v>
      </c>
      <c r="J91" s="124" t="str">
        <f t="shared" si="22"/>
        <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c r="G93" s="733"/>
      <c r="H93" s="733"/>
      <c r="I93" s="44">
        <f t="shared" si="21"/>
        <v>0</v>
      </c>
      <c r="J93" s="124" t="str">
        <f t="shared" si="22"/>
        <v/>
      </c>
      <c r="K93" s="735"/>
    </row>
    <row r="94" spans="1:11" ht="12.75" customHeight="1" x14ac:dyDescent="0.25">
      <c r="A94" s="574" t="s">
        <v>1282</v>
      </c>
      <c r="B94" s="169"/>
      <c r="C94" s="748"/>
      <c r="D94" s="753"/>
      <c r="E94" s="733"/>
      <c r="F94" s="733">
        <v>923082.81</v>
      </c>
      <c r="G94" s="733">
        <v>1464728.1800000002</v>
      </c>
      <c r="H94" s="733"/>
      <c r="I94" s="44">
        <f t="shared" si="21"/>
        <v>-1464728.1800000002</v>
      </c>
      <c r="J94" s="124" t="e">
        <f t="shared" si="22"/>
        <v>#DIV/0!</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v>2500000</v>
      </c>
      <c r="F96" s="733"/>
      <c r="G96" s="733"/>
      <c r="H96" s="733">
        <f>E96/12*11</f>
        <v>2291666.666666667</v>
      </c>
      <c r="I96" s="44">
        <f t="shared" si="21"/>
        <v>2291666.666666667</v>
      </c>
      <c r="J96" s="124">
        <f t="shared" si="22"/>
        <v>1</v>
      </c>
      <c r="K96" s="735">
        <f>E96</f>
        <v>2500000</v>
      </c>
    </row>
    <row r="97" spans="1:11" ht="12.75" customHeight="1" x14ac:dyDescent="0.25">
      <c r="A97" s="574" t="s">
        <v>1284</v>
      </c>
      <c r="B97" s="169"/>
      <c r="C97" s="748"/>
      <c r="D97" s="753"/>
      <c r="E97" s="733"/>
      <c r="F97" s="733"/>
      <c r="G97" s="733">
        <v>-0.05</v>
      </c>
      <c r="H97" s="733"/>
      <c r="I97" s="44">
        <f t="shared" si="21"/>
        <v>0.05</v>
      </c>
      <c r="J97" s="124" t="e">
        <f t="shared" si="22"/>
        <v>#DIV/0!</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0</v>
      </c>
      <c r="G99" s="408">
        <f t="shared" si="23"/>
        <v>0</v>
      </c>
      <c r="H99" s="408">
        <f t="shared" si="23"/>
        <v>0</v>
      </c>
      <c r="I99" s="258">
        <f t="shared" si="21"/>
        <v>0</v>
      </c>
      <c r="J99" s="575" t="str">
        <f t="shared" si="22"/>
        <v/>
      </c>
      <c r="K99" s="642">
        <f>SUM(K100:K102)</f>
        <v>0</v>
      </c>
    </row>
    <row r="100" spans="1:11" ht="12.75" customHeight="1" x14ac:dyDescent="0.25">
      <c r="A100" s="574" t="s">
        <v>1286</v>
      </c>
      <c r="B100" s="169"/>
      <c r="C100" s="748"/>
      <c r="D100" s="753"/>
      <c r="E100" s="733"/>
      <c r="F100" s="733"/>
      <c r="G100" s="733"/>
      <c r="H100" s="733"/>
      <c r="I100" s="44">
        <f t="shared" si="21"/>
        <v>0</v>
      </c>
      <c r="J100" s="124" t="str">
        <f t="shared" si="22"/>
        <v/>
      </c>
      <c r="K100" s="735"/>
    </row>
    <row r="101" spans="1:11" ht="12.75" customHeight="1" x14ac:dyDescent="0.25">
      <c r="A101" s="574" t="s">
        <v>1287</v>
      </c>
      <c r="B101" s="169"/>
      <c r="C101" s="748"/>
      <c r="D101" s="753"/>
      <c r="E101" s="733"/>
      <c r="F101" s="733"/>
      <c r="G101" s="733"/>
      <c r="H101" s="733"/>
      <c r="I101" s="44">
        <f t="shared" si="21"/>
        <v>0</v>
      </c>
      <c r="J101" s="124" t="str">
        <f t="shared" si="22"/>
        <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9604587.4499999993</v>
      </c>
      <c r="D103" s="264">
        <f t="shared" si="24"/>
        <v>33918752.691165708</v>
      </c>
      <c r="E103" s="99">
        <f t="shared" si="24"/>
        <v>0</v>
      </c>
      <c r="F103" s="99">
        <f t="shared" si="24"/>
        <v>0</v>
      </c>
      <c r="G103" s="99">
        <f t="shared" si="24"/>
        <v>0</v>
      </c>
      <c r="H103" s="99">
        <f t="shared" si="24"/>
        <v>0</v>
      </c>
      <c r="I103" s="99">
        <f t="shared" si="21"/>
        <v>0</v>
      </c>
      <c r="J103" s="324" t="str">
        <f t="shared" si="22"/>
        <v/>
      </c>
      <c r="K103" s="195">
        <f>SUM(K104:K108)</f>
        <v>0</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v>9604587.4499999993</v>
      </c>
      <c r="D108" s="753">
        <v>33918752.691165708</v>
      </c>
      <c r="E108" s="733"/>
      <c r="F108" s="733"/>
      <c r="G108" s="733"/>
      <c r="H108" s="733">
        <f>E108/12*8</f>
        <v>0</v>
      </c>
      <c r="I108" s="44">
        <f t="shared" si="21"/>
        <v>0</v>
      </c>
      <c r="J108" s="124" t="str">
        <f t="shared" si="22"/>
        <v/>
      </c>
      <c r="K108" s="735">
        <f>E108</f>
        <v>0</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0</v>
      </c>
      <c r="F117" s="578">
        <f t="shared" si="28"/>
        <v>2584524.91</v>
      </c>
      <c r="G117" s="578">
        <f t="shared" si="28"/>
        <v>50347702.040000007</v>
      </c>
      <c r="H117" s="578">
        <f t="shared" si="28"/>
        <v>0</v>
      </c>
      <c r="I117" s="578">
        <f t="shared" si="21"/>
        <v>-50347702.040000007</v>
      </c>
      <c r="J117" s="579" t="e">
        <f t="shared" si="22"/>
        <v>#DIV/0!</v>
      </c>
      <c r="K117" s="580">
        <f>+K118+K130</f>
        <v>0</v>
      </c>
    </row>
    <row r="118" spans="1:11" ht="12.75" customHeight="1" x14ac:dyDescent="0.25">
      <c r="A118" s="518" t="s">
        <v>1298</v>
      </c>
      <c r="B118" s="169"/>
      <c r="C118" s="648">
        <f t="shared" ref="C118:H118" si="29">SUM(C119:C129)</f>
        <v>0</v>
      </c>
      <c r="D118" s="649">
        <f t="shared" si="29"/>
        <v>3800000</v>
      </c>
      <c r="E118" s="408">
        <f t="shared" si="29"/>
        <v>0</v>
      </c>
      <c r="F118" s="408">
        <f t="shared" si="29"/>
        <v>0</v>
      </c>
      <c r="G118" s="408">
        <f t="shared" si="29"/>
        <v>2038113.77</v>
      </c>
      <c r="H118" s="408">
        <f t="shared" si="29"/>
        <v>0</v>
      </c>
      <c r="I118" s="258">
        <f t="shared" si="21"/>
        <v>-2038113.77</v>
      </c>
      <c r="J118" s="575" t="e">
        <f t="shared" si="22"/>
        <v>#DIV/0!</v>
      </c>
      <c r="K118" s="642">
        <f>SUM(K119:K129)</f>
        <v>0</v>
      </c>
    </row>
    <row r="119" spans="1:11" ht="12.75" customHeight="1" x14ac:dyDescent="0.25">
      <c r="A119" s="574" t="s">
        <v>1299</v>
      </c>
      <c r="B119" s="169"/>
      <c r="C119" s="748"/>
      <c r="D119" s="753">
        <v>3800000</v>
      </c>
      <c r="E119" s="733"/>
      <c r="F119" s="733"/>
      <c r="G119" s="733"/>
      <c r="H119" s="733">
        <f>E119/12*9</f>
        <v>0</v>
      </c>
      <c r="I119" s="44">
        <f t="shared" si="21"/>
        <v>0</v>
      </c>
      <c r="J119" s="124" t="str">
        <f t="shared" si="22"/>
        <v/>
      </c>
      <c r="K119" s="735">
        <f>E119</f>
        <v>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c r="G123" s="733">
        <v>2038113.77</v>
      </c>
      <c r="H123" s="733"/>
      <c r="I123" s="44">
        <f t="shared" si="21"/>
        <v>-2038113.77</v>
      </c>
      <c r="J123" s="124" t="e">
        <f t="shared" si="30"/>
        <v>#DIV/0!</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2584524.91</v>
      </c>
      <c r="G130" s="408">
        <f t="shared" si="31"/>
        <v>48309588.270000003</v>
      </c>
      <c r="H130" s="408">
        <f t="shared" si="31"/>
        <v>0</v>
      </c>
      <c r="I130" s="258">
        <f t="shared" si="21"/>
        <v>-48309588.270000003</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v>2584524.91</v>
      </c>
      <c r="G132" s="733">
        <v>48309588.270000003</v>
      </c>
      <c r="H132" s="733"/>
      <c r="I132" s="44">
        <f t="shared" si="21"/>
        <v>-48309588.270000003</v>
      </c>
      <c r="J132" s="124" t="e">
        <f t="shared" si="30"/>
        <v>#DIV/0!</v>
      </c>
      <c r="K132" s="735"/>
    </row>
    <row r="133" spans="1:11" ht="12.75" customHeight="1" x14ac:dyDescent="0.25">
      <c r="A133" s="574" t="s">
        <v>1219</v>
      </c>
      <c r="B133" s="169"/>
      <c r="C133" s="748"/>
      <c r="D133" s="753"/>
      <c r="E133" s="733"/>
      <c r="F133" s="733"/>
      <c r="G133" s="733"/>
      <c r="H133" s="733"/>
      <c r="I133" s="44">
        <f t="shared" si="21"/>
        <v>0</v>
      </c>
      <c r="J133" s="124" t="str">
        <f t="shared" si="30"/>
        <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-21787999.999999993</v>
      </c>
      <c r="F138" s="942">
        <f t="shared" si="33"/>
        <v>0</v>
      </c>
      <c r="G138" s="942">
        <f t="shared" si="33"/>
        <v>0</v>
      </c>
      <c r="H138" s="942">
        <f t="shared" si="33"/>
        <v>-19972333.333333328</v>
      </c>
      <c r="I138" s="942">
        <f t="shared" ref="I138:I146" si="34">H138-G138</f>
        <v>-19972333.333333328</v>
      </c>
      <c r="J138" s="324">
        <f t="shared" si="30"/>
        <v>1</v>
      </c>
      <c r="K138" s="943">
        <f>SUM(K139:K140)</f>
        <v>-21787999.999999993</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-21787999.999999993</v>
      </c>
      <c r="F140" s="408">
        <f t="shared" si="35"/>
        <v>0</v>
      </c>
      <c r="G140" s="408">
        <f t="shared" si="35"/>
        <v>0</v>
      </c>
      <c r="H140" s="408">
        <f t="shared" si="35"/>
        <v>-19972333.333333328</v>
      </c>
      <c r="I140" s="258">
        <f t="shared" si="34"/>
        <v>-19972333.333333328</v>
      </c>
      <c r="J140" s="575">
        <f t="shared" si="30"/>
        <v>1</v>
      </c>
      <c r="K140" s="642">
        <f>SUM(K141:K146)</f>
        <v>-21787999.999999993</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-21787999.999999993</v>
      </c>
      <c r="F144" s="733"/>
      <c r="G144" s="733"/>
      <c r="H144" s="733">
        <f>E144/12*11</f>
        <v>-19972333.333333328</v>
      </c>
      <c r="I144" s="44">
        <f t="shared" si="34"/>
        <v>-19972333.333333328</v>
      </c>
      <c r="J144" s="124">
        <f t="shared" si="30"/>
        <v>1</v>
      </c>
      <c r="K144" s="735">
        <f>E144</f>
        <v>-21787999.999999993</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5109707</v>
      </c>
      <c r="F148" s="578">
        <f t="shared" si="36"/>
        <v>6920.1</v>
      </c>
      <c r="G148" s="578">
        <f t="shared" si="36"/>
        <v>4487003.53</v>
      </c>
      <c r="H148" s="578">
        <f t="shared" si="36"/>
        <v>4683898.083333334</v>
      </c>
      <c r="I148" s="578">
        <f>H148-G148</f>
        <v>196894.55333333369</v>
      </c>
      <c r="J148" s="324">
        <f>IF(I148=0,"",I148/H148)</f>
        <v>4.2036472576963524E-2</v>
      </c>
      <c r="K148" s="580">
        <f>SUM(K149)</f>
        <v>5109707</v>
      </c>
    </row>
    <row r="149" spans="1:12" ht="12.75" customHeight="1" x14ac:dyDescent="0.25">
      <c r="A149" s="518" t="s">
        <v>1321</v>
      </c>
      <c r="B149" s="169"/>
      <c r="C149" s="748"/>
      <c r="D149" s="753">
        <v>30489488.019469682</v>
      </c>
      <c r="E149" s="733">
        <v>5109707</v>
      </c>
      <c r="F149" s="733">
        <v>6920.1</v>
      </c>
      <c r="G149" s="733">
        <v>4487003.53</v>
      </c>
      <c r="H149" s="733">
        <f>E149/12*11</f>
        <v>4683898.083333334</v>
      </c>
      <c r="I149" s="44">
        <f>H149-G149</f>
        <v>196894.55333333369</v>
      </c>
      <c r="J149" s="124">
        <f>IF(I149=0,"",I149/H149)</f>
        <v>4.2036472576963524E-2</v>
      </c>
      <c r="K149" s="735">
        <f>E149</f>
        <v>5109707</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1551738.6599999284</v>
      </c>
      <c r="D151" s="577">
        <f t="shared" si="37"/>
        <v>26221102.404387362</v>
      </c>
      <c r="E151" s="578">
        <f t="shared" si="37"/>
        <v>7929416</v>
      </c>
      <c r="F151" s="578">
        <f t="shared" si="37"/>
        <v>0</v>
      </c>
      <c r="G151" s="578">
        <f t="shared" si="37"/>
        <v>297250</v>
      </c>
      <c r="H151" s="578">
        <f t="shared" si="37"/>
        <v>7268631.333333333</v>
      </c>
      <c r="I151" s="578">
        <f>H151-G151</f>
        <v>6971381.333333333</v>
      </c>
      <c r="J151" s="324">
        <f>IF(I151=0,"",I151/H151)</f>
        <v>0.95910509332935401</v>
      </c>
      <c r="K151" s="580">
        <f>SUM(K152)</f>
        <v>7929416</v>
      </c>
    </row>
    <row r="152" spans="1:12" ht="12.75" customHeight="1" x14ac:dyDescent="0.25">
      <c r="A152" s="518" t="s">
        <v>1322</v>
      </c>
      <c r="B152" s="169"/>
      <c r="C152" s="748">
        <v>1551738.6599999284</v>
      </c>
      <c r="D152" s="753">
        <v>26221102.404387362</v>
      </c>
      <c r="E152" s="733">
        <v>7929416</v>
      </c>
      <c r="F152" s="733"/>
      <c r="G152" s="733">
        <v>297250</v>
      </c>
      <c r="H152" s="733">
        <f>E152/12*11</f>
        <v>7268631.333333333</v>
      </c>
      <c r="I152" s="44">
        <f>H152-G152</f>
        <v>6971381.333333333</v>
      </c>
      <c r="J152" s="124">
        <f>IF(I152=0,"",I152/H152)</f>
        <v>0.95910509332935401</v>
      </c>
      <c r="K152" s="735">
        <f>E152</f>
        <v>7929416</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3956830.3700000006</v>
      </c>
      <c r="D154" s="577">
        <f t="shared" si="38"/>
        <v>34478166.653423235</v>
      </c>
      <c r="E154" s="578">
        <f t="shared" si="38"/>
        <v>7422034</v>
      </c>
      <c r="F154" s="578">
        <f t="shared" si="38"/>
        <v>1674976.2200000002</v>
      </c>
      <c r="G154" s="578">
        <f t="shared" si="38"/>
        <v>14656246.57</v>
      </c>
      <c r="H154" s="578">
        <f t="shared" si="38"/>
        <v>6803531.166666667</v>
      </c>
      <c r="I154" s="578">
        <f>H154-G154</f>
        <v>-7852715.4033333333</v>
      </c>
      <c r="J154" s="324">
        <f>IF(I154=0,"",I154/H154)</f>
        <v>-1.1542117190271806</v>
      </c>
      <c r="K154" s="580">
        <f>SUM(K155)</f>
        <v>7422034</v>
      </c>
    </row>
    <row r="155" spans="1:12" ht="12.75" customHeight="1" x14ac:dyDescent="0.25">
      <c r="A155" s="518" t="s">
        <v>1323</v>
      </c>
      <c r="B155" s="169"/>
      <c r="C155" s="748">
        <v>3956830.3700000006</v>
      </c>
      <c r="D155" s="753">
        <v>34478166.653423235</v>
      </c>
      <c r="E155" s="733">
        <v>7422034</v>
      </c>
      <c r="F155" s="733">
        <v>1674976.2200000002</v>
      </c>
      <c r="G155" s="733">
        <v>14656246.57</v>
      </c>
      <c r="H155" s="733">
        <f>E155/12*11</f>
        <v>6803531.166666667</v>
      </c>
      <c r="I155" s="44">
        <f>H155-G155</f>
        <v>-7852715.4033333333</v>
      </c>
      <c r="J155" s="124">
        <f>IF(I155=0,"",I155/H155)</f>
        <v>-1.1542117190271806</v>
      </c>
      <c r="K155" s="735">
        <f>E155</f>
        <v>7422034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5994977.6200000001</v>
      </c>
      <c r="D157" s="577">
        <f t="shared" si="39"/>
        <v>0</v>
      </c>
      <c r="E157" s="578">
        <f t="shared" si="39"/>
        <v>22236833</v>
      </c>
      <c r="F157" s="578">
        <f t="shared" si="39"/>
        <v>2159392.25</v>
      </c>
      <c r="G157" s="578">
        <f t="shared" si="39"/>
        <v>11105454.23</v>
      </c>
      <c r="H157" s="578">
        <f t="shared" si="39"/>
        <v>20383763.583333336</v>
      </c>
      <c r="I157" s="578">
        <f>H157-G157</f>
        <v>9278309.3533333354</v>
      </c>
      <c r="J157" s="324">
        <f>IF(I157=0,"",I157/H157)</f>
        <v>0.4551813660613534</v>
      </c>
      <c r="K157" s="580">
        <f>SUM(K158)</f>
        <v>22236833</v>
      </c>
    </row>
    <row r="158" spans="1:12" ht="12.75" customHeight="1" x14ac:dyDescent="0.25">
      <c r="A158" s="518" t="s">
        <v>1324</v>
      </c>
      <c r="B158" s="169"/>
      <c r="C158" s="748">
        <v>5994977.6200000001</v>
      </c>
      <c r="D158" s="753"/>
      <c r="E158" s="733">
        <v>22236833</v>
      </c>
      <c r="F158" s="733">
        <v>2159392.25</v>
      </c>
      <c r="G158" s="733">
        <v>11105454.23</v>
      </c>
      <c r="H158" s="733">
        <f>E158/12*11</f>
        <v>20383763.583333336</v>
      </c>
      <c r="I158" s="44">
        <f>H158-G158</f>
        <v>9278309.3533333354</v>
      </c>
      <c r="J158" s="124">
        <f>IF(I158=0,"",I158/H158)</f>
        <v>0.4551813660613534</v>
      </c>
      <c r="K158" s="735">
        <f>E158</f>
        <v>22236833</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0</v>
      </c>
      <c r="F160" s="578">
        <f t="shared" si="40"/>
        <v>0</v>
      </c>
      <c r="G160" s="578">
        <f t="shared" si="40"/>
        <v>0</v>
      </c>
      <c r="H160" s="578">
        <f t="shared" si="40"/>
        <v>0</v>
      </c>
      <c r="I160" s="578">
        <f>H160-G160</f>
        <v>0</v>
      </c>
      <c r="J160" s="324" t="str">
        <f>IF(I160=0,"",I160/H160)</f>
        <v/>
      </c>
      <c r="K160" s="580">
        <f>SUM(K161)</f>
        <v>0</v>
      </c>
    </row>
    <row r="161" spans="1:11" ht="12.75" customHeight="1" x14ac:dyDescent="0.25">
      <c r="A161" s="518" t="s">
        <v>1335</v>
      </c>
      <c r="B161" s="169"/>
      <c r="C161" s="748"/>
      <c r="D161" s="753">
        <v>48520598.76723469</v>
      </c>
      <c r="E161" s="733"/>
      <c r="F161" s="733"/>
      <c r="G161" s="733"/>
      <c r="H161" s="733">
        <f>E161/12*10</f>
        <v>0</v>
      </c>
      <c r="I161" s="44">
        <f>H161-G161</f>
        <v>0</v>
      </c>
      <c r="J161" s="124" t="str">
        <f>IF(I161=0,"",I161/H161)</f>
        <v/>
      </c>
      <c r="K161" s="735">
        <f>E161</f>
        <v>0</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21108134.099999931</v>
      </c>
      <c r="D166" s="271">
        <f t="shared" si="42"/>
        <v>456241581</v>
      </c>
      <c r="E166" s="55">
        <f t="shared" si="42"/>
        <v>23409990.000000007</v>
      </c>
      <c r="F166" s="55">
        <f t="shared" si="42"/>
        <v>24057779.049999997</v>
      </c>
      <c r="G166" s="55">
        <f t="shared" si="42"/>
        <v>300214412.37</v>
      </c>
      <c r="H166" s="55">
        <f t="shared" si="42"/>
        <v>21459157.500000007</v>
      </c>
      <c r="I166" s="55">
        <f>H166-G166</f>
        <v>-278755254.87</v>
      </c>
      <c r="J166" s="290">
        <f>IF(I166=0,"",I166/H166)</f>
        <v>-12.990037230958388</v>
      </c>
      <c r="K166" s="235">
        <f>K7+K75+K103+K110+K117+K135+K138+K148+K151+K154+K157+K160+K163</f>
        <v>23409990.000000007</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-59610022.050000012</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25" activePane="bottomRight" state="frozen"/>
      <selection pane="topRight"/>
      <selection pane="bottomLeft"/>
      <selection pane="bottomRight" activeCell="C158" sqref="C15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"&amp;S71Sb&amp; " - "&amp;Head57</f>
        <v>KZN225 Msunduzi - Supporting Table SC13b Consolidated Monthly Budget Statement - capital expenditure on renewal of existing assets by asset class - M11 May</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196263971</v>
      </c>
      <c r="F7" s="102">
        <f t="shared" si="0"/>
        <v>3429307.8399999994</v>
      </c>
      <c r="G7" s="102">
        <f t="shared" si="0"/>
        <v>54706685.579999998</v>
      </c>
      <c r="H7" s="102">
        <f t="shared" si="0"/>
        <v>179908640.08333331</v>
      </c>
      <c r="I7" s="101">
        <f t="shared" ref="I7:I133" si="1">H7-G7</f>
        <v>125201954.50333332</v>
      </c>
      <c r="J7" s="579">
        <f t="shared" ref="J7:J136" si="2">IF(I7=0,"",I7/H7)</f>
        <v>0.69591963146039026</v>
      </c>
      <c r="K7" s="603">
        <f>K8+K13+K17+K27+K38+K45+K53+K63+K69</f>
        <v>196263971</v>
      </c>
    </row>
    <row r="8" spans="1:11" ht="12.75" customHeight="1" x14ac:dyDescent="0.25">
      <c r="A8" s="518" t="s">
        <v>1216</v>
      </c>
      <c r="B8" s="169"/>
      <c r="C8" s="677">
        <f t="shared" ref="C8:H8" si="3">SUM(C9:C12)</f>
        <v>0</v>
      </c>
      <c r="D8" s="609">
        <f t="shared" si="3"/>
        <v>5914548.2937818393</v>
      </c>
      <c r="E8" s="608">
        <f t="shared" si="3"/>
        <v>39449298</v>
      </c>
      <c r="F8" s="608">
        <f t="shared" si="3"/>
        <v>3333786.1699999995</v>
      </c>
      <c r="G8" s="608">
        <f t="shared" si="3"/>
        <v>44861942.590000004</v>
      </c>
      <c r="H8" s="608">
        <f t="shared" si="3"/>
        <v>36161856.5</v>
      </c>
      <c r="I8" s="258">
        <f t="shared" si="1"/>
        <v>-8700086.0900000036</v>
      </c>
      <c r="J8" s="575">
        <f t="shared" si="2"/>
        <v>-0.24058737388109494</v>
      </c>
      <c r="K8" s="610">
        <f>SUM(K9:K12)</f>
        <v>39449298</v>
      </c>
    </row>
    <row r="9" spans="1:11" ht="12.75" customHeight="1" x14ac:dyDescent="0.25">
      <c r="A9" s="574" t="s">
        <v>168</v>
      </c>
      <c r="B9" s="169"/>
      <c r="C9" s="748"/>
      <c r="D9" s="745">
        <v>5914548.2937818393</v>
      </c>
      <c r="E9" s="733">
        <v>39449298</v>
      </c>
      <c r="F9" s="733">
        <v>3333786.1699999995</v>
      </c>
      <c r="G9" s="733">
        <v>44861942.590000004</v>
      </c>
      <c r="H9" s="733">
        <f>E9/12*11</f>
        <v>36161856.5</v>
      </c>
      <c r="I9" s="258">
        <f t="shared" si="1"/>
        <v>-8700086.0900000036</v>
      </c>
      <c r="J9" s="575">
        <f t="shared" si="2"/>
        <v>-0.24058737388109494</v>
      </c>
      <c r="K9" s="735">
        <f>E9</f>
        <v>39449298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10334330</v>
      </c>
      <c r="F17" s="408">
        <f t="shared" si="5"/>
        <v>0</v>
      </c>
      <c r="G17" s="408">
        <f t="shared" si="5"/>
        <v>0</v>
      </c>
      <c r="H17" s="408">
        <f t="shared" si="5"/>
        <v>9473135.8333333321</v>
      </c>
      <c r="I17" s="258">
        <f t="shared" si="1"/>
        <v>9473135.8333333321</v>
      </c>
      <c r="J17" s="575">
        <f t="shared" si="2"/>
        <v>1</v>
      </c>
      <c r="K17" s="642">
        <f>SUM(K18:K26)</f>
        <v>10334330</v>
      </c>
    </row>
    <row r="18" spans="1:11" ht="12.75" customHeight="1" x14ac:dyDescent="0.25">
      <c r="A18" s="574" t="s">
        <v>1225</v>
      </c>
      <c r="B18" s="169"/>
      <c r="C18" s="748"/>
      <c r="D18" s="745"/>
      <c r="E18" s="733">
        <v>10334330</v>
      </c>
      <c r="F18" s="733"/>
      <c r="G18" s="733"/>
      <c r="H18" s="733">
        <f>E18/12*11</f>
        <v>9473135.8333333321</v>
      </c>
      <c r="I18" s="258">
        <f t="shared" si="1"/>
        <v>9473135.8333333321</v>
      </c>
      <c r="J18" s="575">
        <f t="shared" si="2"/>
        <v>1</v>
      </c>
      <c r="K18" s="735">
        <f>E18</f>
        <v>10334330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68660397</v>
      </c>
      <c r="F27" s="408">
        <f t="shared" si="6"/>
        <v>91021.67</v>
      </c>
      <c r="G27" s="408">
        <f t="shared" si="6"/>
        <v>9316946.589999998</v>
      </c>
      <c r="H27" s="408">
        <f t="shared" si="6"/>
        <v>62938697.25</v>
      </c>
      <c r="I27" s="258">
        <f t="shared" si="1"/>
        <v>53621750.660000004</v>
      </c>
      <c r="J27" s="575">
        <f t="shared" si="2"/>
        <v>0.85196791485861278</v>
      </c>
      <c r="K27" s="642">
        <f>SUM(K28:K37)</f>
        <v>68660397</v>
      </c>
    </row>
    <row r="28" spans="1:11" ht="12.75" customHeight="1" x14ac:dyDescent="0.25">
      <c r="A28" s="574" t="s">
        <v>1234</v>
      </c>
      <c r="B28" s="169"/>
      <c r="C28" s="748"/>
      <c r="D28" s="745"/>
      <c r="E28" s="733"/>
      <c r="F28" s="733">
        <v>91021.67</v>
      </c>
      <c r="G28" s="733">
        <v>9316946.589999998</v>
      </c>
      <c r="H28" s="733"/>
      <c r="I28" s="258">
        <f t="shared" si="1"/>
        <v>-9316946.589999998</v>
      </c>
      <c r="J28" s="575" t="e">
        <f t="shared" si="2"/>
        <v>#DIV/0!</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v>68660397</v>
      </c>
      <c r="F30" s="733"/>
      <c r="G30" s="733"/>
      <c r="H30" s="733">
        <f>E30/12*11</f>
        <v>62938697.25</v>
      </c>
      <c r="I30" s="258">
        <f t="shared" si="1"/>
        <v>62938697.25</v>
      </c>
      <c r="J30" s="575">
        <f t="shared" si="2"/>
        <v>1</v>
      </c>
      <c r="K30" s="735">
        <f>E30</f>
        <v>68660397</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32720000</v>
      </c>
      <c r="F38" s="408">
        <f t="shared" si="7"/>
        <v>4500</v>
      </c>
      <c r="G38" s="408">
        <f t="shared" si="7"/>
        <v>527796.39999999991</v>
      </c>
      <c r="H38" s="408">
        <f t="shared" si="7"/>
        <v>29993333.333333332</v>
      </c>
      <c r="I38" s="258">
        <f t="shared" si="1"/>
        <v>29465536.933333334</v>
      </c>
      <c r="J38" s="575">
        <f t="shared" si="2"/>
        <v>0.98240287619471001</v>
      </c>
      <c r="K38" s="642">
        <f>SUM(K39:K44)</f>
        <v>32720000</v>
      </c>
    </row>
    <row r="39" spans="1:11" ht="12.75" customHeight="1" x14ac:dyDescent="0.25">
      <c r="A39" s="574" t="s">
        <v>1244</v>
      </c>
      <c r="B39" s="169"/>
      <c r="C39" s="748"/>
      <c r="D39" s="745"/>
      <c r="E39" s="733"/>
      <c r="F39" s="733">
        <v>4500</v>
      </c>
      <c r="G39" s="733">
        <v>527796.39999999991</v>
      </c>
      <c r="H39" s="733"/>
      <c r="I39" s="258">
        <f t="shared" si="1"/>
        <v>-527796.39999999991</v>
      </c>
      <c r="J39" s="575" t="e">
        <f t="shared" si="2"/>
        <v>#DIV/0!</v>
      </c>
      <c r="K39" s="735"/>
    </row>
    <row r="40" spans="1:11" ht="12.75" customHeight="1" x14ac:dyDescent="0.25">
      <c r="A40" s="574" t="s">
        <v>135</v>
      </c>
      <c r="B40" s="169"/>
      <c r="C40" s="748"/>
      <c r="D40" s="745"/>
      <c r="E40" s="733">
        <v>30000000</v>
      </c>
      <c r="F40" s="733"/>
      <c r="G40" s="733"/>
      <c r="H40" s="733">
        <f t="shared" ref="H40:H41" si="8">E40/12*11</f>
        <v>27500000</v>
      </c>
      <c r="I40" s="258">
        <f t="shared" si="1"/>
        <v>27500000</v>
      </c>
      <c r="J40" s="575">
        <f t="shared" si="2"/>
        <v>1</v>
      </c>
      <c r="K40" s="735">
        <f t="shared" ref="K40:K41" si="9">E40</f>
        <v>30000000</v>
      </c>
    </row>
    <row r="41" spans="1:11" ht="12.75" customHeight="1" x14ac:dyDescent="0.25">
      <c r="A41" s="574" t="s">
        <v>1245</v>
      </c>
      <c r="B41" s="169"/>
      <c r="C41" s="748"/>
      <c r="D41" s="745"/>
      <c r="E41" s="733">
        <v>2720000</v>
      </c>
      <c r="F41" s="733"/>
      <c r="G41" s="733"/>
      <c r="H41" s="733">
        <f t="shared" si="8"/>
        <v>2493333.333333333</v>
      </c>
      <c r="I41" s="258">
        <f t="shared" si="1"/>
        <v>2493333.333333333</v>
      </c>
      <c r="J41" s="575">
        <f t="shared" si="2"/>
        <v>1</v>
      </c>
      <c r="K41" s="735">
        <f t="shared" si="9"/>
        <v>2720000</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10">SUM(C46:C52)</f>
        <v>0</v>
      </c>
      <c r="D45" s="649">
        <f t="shared" si="10"/>
        <v>1556460.0773110106</v>
      </c>
      <c r="E45" s="408">
        <f t="shared" si="10"/>
        <v>45099946</v>
      </c>
      <c r="F45" s="408">
        <f t="shared" si="10"/>
        <v>0</v>
      </c>
      <c r="G45" s="408">
        <f t="shared" si="10"/>
        <v>0</v>
      </c>
      <c r="H45" s="408">
        <f t="shared" si="10"/>
        <v>41341617.166666672</v>
      </c>
      <c r="I45" s="258">
        <f t="shared" si="1"/>
        <v>41341617.166666672</v>
      </c>
      <c r="J45" s="575">
        <f t="shared" si="2"/>
        <v>1</v>
      </c>
      <c r="K45" s="642">
        <f>SUM(K46:K52)</f>
        <v>45099946</v>
      </c>
    </row>
    <row r="46" spans="1:11" ht="12.75" customHeight="1" x14ac:dyDescent="0.25">
      <c r="A46" s="574" t="s">
        <v>1249</v>
      </c>
      <c r="B46" s="169"/>
      <c r="C46" s="748"/>
      <c r="D46" s="745">
        <v>1556460.0773110106</v>
      </c>
      <c r="E46" s="733">
        <v>45099946</v>
      </c>
      <c r="F46" s="733"/>
      <c r="G46" s="733"/>
      <c r="H46" s="733">
        <f>E46/12*11</f>
        <v>41341617.166666672</v>
      </c>
      <c r="I46" s="258">
        <f t="shared" si="1"/>
        <v>41341617.166666672</v>
      </c>
      <c r="J46" s="575">
        <f t="shared" si="2"/>
        <v>1</v>
      </c>
      <c r="K46" s="735">
        <f>E46</f>
        <v>45099946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1">SUM(C54:C62)</f>
        <v>0</v>
      </c>
      <c r="D53" s="649">
        <f t="shared" si="11"/>
        <v>0</v>
      </c>
      <c r="E53" s="408">
        <f t="shared" si="11"/>
        <v>0</v>
      </c>
      <c r="F53" s="408">
        <f t="shared" si="11"/>
        <v>0</v>
      </c>
      <c r="G53" s="408">
        <f t="shared" si="11"/>
        <v>0</v>
      </c>
      <c r="H53" s="408">
        <f t="shared" si="11"/>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2">SUM(C64:C68)</f>
        <v>0</v>
      </c>
      <c r="D63" s="649">
        <f t="shared" si="12"/>
        <v>0</v>
      </c>
      <c r="E63" s="408">
        <f t="shared" si="12"/>
        <v>0</v>
      </c>
      <c r="F63" s="408">
        <f t="shared" si="12"/>
        <v>0</v>
      </c>
      <c r="G63" s="408">
        <f t="shared" si="12"/>
        <v>0</v>
      </c>
      <c r="H63" s="408">
        <f t="shared" si="12"/>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3">SUM(C70:C73)</f>
        <v>0</v>
      </c>
      <c r="D69" s="649">
        <f t="shared" si="13"/>
        <v>0</v>
      </c>
      <c r="E69" s="408">
        <f t="shared" si="13"/>
        <v>0</v>
      </c>
      <c r="F69" s="408">
        <f t="shared" si="13"/>
        <v>0</v>
      </c>
      <c r="G69" s="408">
        <f t="shared" si="13"/>
        <v>0</v>
      </c>
      <c r="H69" s="408">
        <f t="shared" si="13"/>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4">+C76+C99</f>
        <v>0</v>
      </c>
      <c r="D75" s="577">
        <f t="shared" si="14"/>
        <v>0</v>
      </c>
      <c r="E75" s="578">
        <f t="shared" si="14"/>
        <v>12300000</v>
      </c>
      <c r="F75" s="578">
        <f t="shared" si="14"/>
        <v>427535.61</v>
      </c>
      <c r="G75" s="578">
        <f t="shared" si="14"/>
        <v>4070542.3299999996</v>
      </c>
      <c r="H75" s="578">
        <f t="shared" si="14"/>
        <v>11275000</v>
      </c>
      <c r="I75" s="578">
        <f t="shared" si="1"/>
        <v>7204457.6699999999</v>
      </c>
      <c r="J75" s="579">
        <f t="shared" si="2"/>
        <v>0.63897629002217293</v>
      </c>
      <c r="K75" s="580">
        <f>+K76+K99</f>
        <v>12300000</v>
      </c>
    </row>
    <row r="76" spans="1:11" ht="12.75" customHeight="1" x14ac:dyDescent="0.25">
      <c r="A76" s="518" t="s">
        <v>1268</v>
      </c>
      <c r="B76" s="169"/>
      <c r="C76" s="648">
        <f t="shared" ref="C76:H76" si="15">SUM(C77:C98)</f>
        <v>0</v>
      </c>
      <c r="D76" s="649">
        <f t="shared" si="15"/>
        <v>0</v>
      </c>
      <c r="E76" s="408">
        <f t="shared" si="15"/>
        <v>12300000</v>
      </c>
      <c r="F76" s="408">
        <f t="shared" si="15"/>
        <v>427535.61</v>
      </c>
      <c r="G76" s="408">
        <f t="shared" si="15"/>
        <v>4070542.3299999996</v>
      </c>
      <c r="H76" s="408">
        <f t="shared" si="15"/>
        <v>11275000</v>
      </c>
      <c r="I76" s="258">
        <f t="shared" si="1"/>
        <v>7204457.6699999999</v>
      </c>
      <c r="J76" s="575">
        <f t="shared" si="2"/>
        <v>0.63897629002217293</v>
      </c>
      <c r="K76" s="642">
        <f>SUM(K77:K98)</f>
        <v>12300000</v>
      </c>
    </row>
    <row r="77" spans="1:11" ht="12.75" customHeight="1" x14ac:dyDescent="0.25">
      <c r="A77" s="574" t="s">
        <v>1269</v>
      </c>
      <c r="B77" s="169"/>
      <c r="C77" s="748"/>
      <c r="D77" s="753"/>
      <c r="E77" s="733">
        <v>12300000</v>
      </c>
      <c r="F77" s="733"/>
      <c r="G77" s="733"/>
      <c r="H77" s="733">
        <f>E77/12*11</f>
        <v>11275000</v>
      </c>
      <c r="I77" s="44">
        <f t="shared" si="1"/>
        <v>11275000</v>
      </c>
      <c r="J77" s="124">
        <f t="shared" si="2"/>
        <v>1</v>
      </c>
      <c r="K77" s="735">
        <f>E77</f>
        <v>12300000</v>
      </c>
    </row>
    <row r="78" spans="1:11" ht="12.75" customHeight="1" x14ac:dyDescent="0.25">
      <c r="A78" s="574" t="s">
        <v>1270</v>
      </c>
      <c r="B78" s="169"/>
      <c r="C78" s="748"/>
      <c r="D78" s="753"/>
      <c r="E78" s="733"/>
      <c r="F78" s="733">
        <v>427535.61</v>
      </c>
      <c r="G78" s="733">
        <v>677617.1</v>
      </c>
      <c r="H78" s="733"/>
      <c r="I78" s="44">
        <f t="shared" si="1"/>
        <v>-677617.1</v>
      </c>
      <c r="J78" s="124" t="e">
        <f t="shared" si="2"/>
        <v>#DIV/0!</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v>1178169.95</v>
      </c>
      <c r="H87" s="733"/>
      <c r="I87" s="44">
        <f t="shared" si="1"/>
        <v>-1178169.95</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v>2214755.2799999998</v>
      </c>
      <c r="H89" s="733"/>
      <c r="I89" s="44">
        <f t="shared" si="1"/>
        <v>-2214755.2799999998</v>
      </c>
      <c r="J89" s="124" t="e">
        <f t="shared" si="2"/>
        <v>#DIV/0!</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6">SUM(C100:C102)</f>
        <v>0</v>
      </c>
      <c r="D99" s="649">
        <f t="shared" si="16"/>
        <v>0</v>
      </c>
      <c r="E99" s="408">
        <f t="shared" si="16"/>
        <v>0</v>
      </c>
      <c r="F99" s="408">
        <f t="shared" si="16"/>
        <v>0</v>
      </c>
      <c r="G99" s="408">
        <f t="shared" si="16"/>
        <v>0</v>
      </c>
      <c r="H99" s="408">
        <f t="shared" si="16"/>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7">SUM(C104:C108)</f>
        <v>208367675.97999999</v>
      </c>
      <c r="D103" s="264">
        <f t="shared" si="17"/>
        <v>0</v>
      </c>
      <c r="E103" s="99">
        <f t="shared" si="17"/>
        <v>4450000</v>
      </c>
      <c r="F103" s="99">
        <f t="shared" si="17"/>
        <v>0</v>
      </c>
      <c r="G103" s="99">
        <f t="shared" si="17"/>
        <v>0</v>
      </c>
      <c r="H103" s="99">
        <f t="shared" si="17"/>
        <v>4079166.6666666665</v>
      </c>
      <c r="I103" s="99">
        <f t="shared" si="1"/>
        <v>4079166.6666666665</v>
      </c>
      <c r="J103" s="324">
        <f t="shared" si="2"/>
        <v>1</v>
      </c>
      <c r="K103" s="195">
        <f>SUM(K104:K108)</f>
        <v>4450000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v>208367675.97999999</v>
      </c>
      <c r="D108" s="753"/>
      <c r="E108" s="733">
        <v>4450000</v>
      </c>
      <c r="F108" s="733"/>
      <c r="G108" s="733"/>
      <c r="H108" s="733">
        <f>E108/12*11</f>
        <v>4079166.6666666665</v>
      </c>
      <c r="I108" s="44">
        <f t="shared" si="1"/>
        <v>4079166.6666666665</v>
      </c>
      <c r="J108" s="124">
        <f t="shared" si="2"/>
        <v>1</v>
      </c>
      <c r="K108" s="735">
        <f>E108</f>
        <v>4450000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8">+C111+C114</f>
        <v>0</v>
      </c>
      <c r="D110" s="577">
        <f t="shared" si="18"/>
        <v>0</v>
      </c>
      <c r="E110" s="578">
        <f t="shared" si="18"/>
        <v>0</v>
      </c>
      <c r="F110" s="578">
        <f t="shared" si="18"/>
        <v>0</v>
      </c>
      <c r="G110" s="578">
        <f t="shared" si="18"/>
        <v>0</v>
      </c>
      <c r="H110" s="578">
        <f t="shared" si="18"/>
        <v>0</v>
      </c>
      <c r="I110" s="99">
        <f t="shared" si="1"/>
        <v>0</v>
      </c>
      <c r="J110" s="324" t="str">
        <f t="shared" si="2"/>
        <v/>
      </c>
      <c r="K110" s="580">
        <f>+K111+K114</f>
        <v>0</v>
      </c>
    </row>
    <row r="111" spans="1:11" ht="12.75" customHeight="1" x14ac:dyDescent="0.25">
      <c r="A111" s="518" t="s">
        <v>1294</v>
      </c>
      <c r="B111" s="169"/>
      <c r="C111" s="648">
        <f t="shared" ref="C111:H111" si="19">SUM(C112:C113)</f>
        <v>0</v>
      </c>
      <c r="D111" s="649">
        <f t="shared" si="19"/>
        <v>0</v>
      </c>
      <c r="E111" s="408">
        <f t="shared" si="19"/>
        <v>0</v>
      </c>
      <c r="F111" s="408">
        <f t="shared" si="19"/>
        <v>0</v>
      </c>
      <c r="G111" s="408">
        <f t="shared" si="19"/>
        <v>0</v>
      </c>
      <c r="H111" s="408">
        <f t="shared" si="19"/>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0">SUM(C115:C116)</f>
        <v>0</v>
      </c>
      <c r="D114" s="649">
        <f t="shared" si="20"/>
        <v>0</v>
      </c>
      <c r="E114" s="408">
        <f t="shared" si="20"/>
        <v>0</v>
      </c>
      <c r="F114" s="408">
        <f t="shared" si="20"/>
        <v>0</v>
      </c>
      <c r="G114" s="408">
        <f t="shared" si="20"/>
        <v>0</v>
      </c>
      <c r="H114" s="408">
        <f t="shared" si="20"/>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1">+C118+C130</f>
        <v>0</v>
      </c>
      <c r="D117" s="577">
        <f t="shared" si="21"/>
        <v>0</v>
      </c>
      <c r="E117" s="578">
        <f t="shared" si="21"/>
        <v>28589166.780000001</v>
      </c>
      <c r="F117" s="578">
        <f t="shared" si="21"/>
        <v>0</v>
      </c>
      <c r="G117" s="578">
        <f t="shared" si="21"/>
        <v>0</v>
      </c>
      <c r="H117" s="578">
        <f t="shared" si="21"/>
        <v>26206736.215</v>
      </c>
      <c r="I117" s="578">
        <f t="shared" si="1"/>
        <v>26206736.215</v>
      </c>
      <c r="J117" s="579">
        <f t="shared" si="2"/>
        <v>1</v>
      </c>
      <c r="K117" s="580">
        <f>+K118+K130</f>
        <v>28589166.780000001</v>
      </c>
    </row>
    <row r="118" spans="1:11" ht="12.75" customHeight="1" x14ac:dyDescent="0.25">
      <c r="A118" s="518" t="s">
        <v>1298</v>
      </c>
      <c r="B118" s="169"/>
      <c r="C118" s="648">
        <f t="shared" ref="C118:H118" si="22">SUM(C119:C129)</f>
        <v>0</v>
      </c>
      <c r="D118" s="649">
        <f t="shared" si="22"/>
        <v>0</v>
      </c>
      <c r="E118" s="408">
        <f t="shared" si="22"/>
        <v>0</v>
      </c>
      <c r="F118" s="408">
        <f t="shared" si="22"/>
        <v>0</v>
      </c>
      <c r="G118" s="408">
        <f t="shared" si="22"/>
        <v>0</v>
      </c>
      <c r="H118" s="408">
        <f t="shared" si="22"/>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3">SUM(C131:C133)</f>
        <v>0</v>
      </c>
      <c r="D130" s="649">
        <f t="shared" si="23"/>
        <v>0</v>
      </c>
      <c r="E130" s="408">
        <f t="shared" si="23"/>
        <v>28589166.780000001</v>
      </c>
      <c r="F130" s="408">
        <f t="shared" si="23"/>
        <v>0</v>
      </c>
      <c r="G130" s="408">
        <f t="shared" si="23"/>
        <v>0</v>
      </c>
      <c r="H130" s="408">
        <f t="shared" si="23"/>
        <v>26206736.215</v>
      </c>
      <c r="I130" s="258">
        <f t="shared" si="1"/>
        <v>26206736.215</v>
      </c>
      <c r="J130" s="575">
        <f t="shared" si="2"/>
        <v>1</v>
      </c>
      <c r="K130" s="642">
        <f>SUM(K131:K133)</f>
        <v>28589166.780000001</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28589166.780000001</v>
      </c>
      <c r="F132" s="733"/>
      <c r="G132" s="733"/>
      <c r="H132" s="733">
        <f>E132/12*11</f>
        <v>26206736.215</v>
      </c>
      <c r="I132" s="44">
        <f t="shared" si="1"/>
        <v>26206736.215</v>
      </c>
      <c r="J132" s="124">
        <f t="shared" si="2"/>
        <v>1</v>
      </c>
      <c r="K132" s="735">
        <f>E132</f>
        <v>28589166.780000001</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4">SUM(C136:C136)</f>
        <v>0</v>
      </c>
      <c r="D135" s="577">
        <f t="shared" si="24"/>
        <v>0</v>
      </c>
      <c r="E135" s="578">
        <f t="shared" si="24"/>
        <v>0</v>
      </c>
      <c r="F135" s="578">
        <f t="shared" si="24"/>
        <v>0</v>
      </c>
      <c r="G135" s="578">
        <f t="shared" si="24"/>
        <v>0</v>
      </c>
      <c r="H135" s="578">
        <f t="shared" si="24"/>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5">IF(I137=0,"",I137/H137)</f>
        <v/>
      </c>
      <c r="K137" s="144"/>
    </row>
    <row r="138" spans="1:11" s="100" customFormat="1" ht="12.75" customHeight="1" x14ac:dyDescent="0.25">
      <c r="A138" s="549" t="s">
        <v>1312</v>
      </c>
      <c r="B138" s="171"/>
      <c r="C138" s="940">
        <f t="shared" ref="C138:H138" si="26">SUM(C139:C140)</f>
        <v>0</v>
      </c>
      <c r="D138" s="941">
        <f t="shared" si="26"/>
        <v>0</v>
      </c>
      <c r="E138" s="942">
        <f t="shared" si="26"/>
        <v>3250000</v>
      </c>
      <c r="F138" s="942">
        <f t="shared" si="26"/>
        <v>1990.02</v>
      </c>
      <c r="G138" s="942">
        <f t="shared" si="26"/>
        <v>207922.75999999998</v>
      </c>
      <c r="H138" s="942">
        <f t="shared" si="26"/>
        <v>2979166.6666666665</v>
      </c>
      <c r="I138" s="942">
        <f t="shared" ref="I138:I146" si="27">H138-G138</f>
        <v>2771243.9066666667</v>
      </c>
      <c r="J138" s="324">
        <f t="shared" si="25"/>
        <v>0.93020774489510494</v>
      </c>
      <c r="K138" s="943">
        <f>SUM(K139:K140)</f>
        <v>3250000</v>
      </c>
    </row>
    <row r="139" spans="1:11" ht="12.75" customHeight="1" x14ac:dyDescent="0.25">
      <c r="A139" s="517" t="s">
        <v>1313</v>
      </c>
      <c r="B139" s="169"/>
      <c r="C139" s="748"/>
      <c r="D139" s="753"/>
      <c r="E139" s="733"/>
      <c r="F139" s="733"/>
      <c r="G139" s="733"/>
      <c r="H139" s="733"/>
      <c r="I139" s="44">
        <f t="shared" si="27"/>
        <v>0</v>
      </c>
      <c r="J139" s="124" t="str">
        <f t="shared" si="25"/>
        <v/>
      </c>
      <c r="K139" s="735"/>
    </row>
    <row r="140" spans="1:11" ht="12.75" customHeight="1" x14ac:dyDescent="0.25">
      <c r="A140" s="517" t="s">
        <v>1314</v>
      </c>
      <c r="B140" s="169"/>
      <c r="C140" s="648">
        <f t="shared" ref="C140:H140" si="28">SUM(C141:C146)</f>
        <v>0</v>
      </c>
      <c r="D140" s="649">
        <f t="shared" si="28"/>
        <v>0</v>
      </c>
      <c r="E140" s="408">
        <f t="shared" si="28"/>
        <v>3250000</v>
      </c>
      <c r="F140" s="408">
        <f t="shared" si="28"/>
        <v>1990.02</v>
      </c>
      <c r="G140" s="408">
        <f t="shared" si="28"/>
        <v>207922.75999999998</v>
      </c>
      <c r="H140" s="408">
        <f t="shared" si="28"/>
        <v>2979166.6666666665</v>
      </c>
      <c r="I140" s="258">
        <f t="shared" si="27"/>
        <v>2771243.9066666667</v>
      </c>
      <c r="J140" s="575">
        <f t="shared" si="25"/>
        <v>0.93020774489510494</v>
      </c>
      <c r="K140" s="642">
        <f>SUM(K141:K146)</f>
        <v>3250000</v>
      </c>
    </row>
    <row r="141" spans="1:11" ht="12.75" customHeight="1" x14ac:dyDescent="0.25">
      <c r="A141" s="574" t="s">
        <v>1315</v>
      </c>
      <c r="B141" s="169"/>
      <c r="C141" s="748"/>
      <c r="D141" s="753"/>
      <c r="E141" s="733"/>
      <c r="F141" s="733"/>
      <c r="G141" s="733"/>
      <c r="H141" s="733"/>
      <c r="I141" s="44">
        <f t="shared" si="27"/>
        <v>0</v>
      </c>
      <c r="J141" s="124" t="str">
        <f t="shared" si="25"/>
        <v/>
      </c>
      <c r="K141" s="735"/>
    </row>
    <row r="142" spans="1:11" ht="12.75" customHeight="1" x14ac:dyDescent="0.25">
      <c r="A142" s="574" t="s">
        <v>1316</v>
      </c>
      <c r="B142" s="169"/>
      <c r="C142" s="748"/>
      <c r="D142" s="753"/>
      <c r="E142" s="733"/>
      <c r="F142" s="733"/>
      <c r="G142" s="733"/>
      <c r="H142" s="733"/>
      <c r="I142" s="44">
        <f t="shared" si="27"/>
        <v>0</v>
      </c>
      <c r="J142" s="124" t="str">
        <f t="shared" si="25"/>
        <v/>
      </c>
      <c r="K142" s="735"/>
    </row>
    <row r="143" spans="1:11" ht="12.75" customHeight="1" x14ac:dyDescent="0.25">
      <c r="A143" s="574" t="s">
        <v>1317</v>
      </c>
      <c r="B143" s="169"/>
      <c r="C143" s="748"/>
      <c r="D143" s="753"/>
      <c r="E143" s="733"/>
      <c r="F143" s="733"/>
      <c r="G143" s="733"/>
      <c r="H143" s="733"/>
      <c r="I143" s="44">
        <f t="shared" si="27"/>
        <v>0</v>
      </c>
      <c r="J143" s="124" t="str">
        <f t="shared" si="25"/>
        <v/>
      </c>
      <c r="K143" s="735"/>
    </row>
    <row r="144" spans="1:11" ht="12.75" customHeight="1" x14ac:dyDescent="0.25">
      <c r="A144" s="574" t="s">
        <v>1318</v>
      </c>
      <c r="B144" s="169"/>
      <c r="C144" s="748"/>
      <c r="D144" s="753"/>
      <c r="E144" s="733">
        <v>3250000</v>
      </c>
      <c r="F144" s="733">
        <v>1990.02</v>
      </c>
      <c r="G144" s="733">
        <v>207922.75999999998</v>
      </c>
      <c r="H144" s="733">
        <f>E144/12*11</f>
        <v>2979166.6666666665</v>
      </c>
      <c r="I144" s="44">
        <f t="shared" si="27"/>
        <v>2771243.9066666667</v>
      </c>
      <c r="J144" s="124">
        <f t="shared" si="25"/>
        <v>0.93020774489510494</v>
      </c>
      <c r="K144" s="735">
        <f>E144</f>
        <v>3250000</v>
      </c>
    </row>
    <row r="145" spans="1:12" ht="12.75" customHeight="1" x14ac:dyDescent="0.25">
      <c r="A145" s="574" t="s">
        <v>1319</v>
      </c>
      <c r="B145" s="169"/>
      <c r="C145" s="748"/>
      <c r="D145" s="753"/>
      <c r="E145" s="733"/>
      <c r="F145" s="733"/>
      <c r="G145" s="733"/>
      <c r="H145" s="733"/>
      <c r="I145" s="44">
        <f t="shared" si="27"/>
        <v>0</v>
      </c>
      <c r="J145" s="124" t="str">
        <f t="shared" si="25"/>
        <v/>
      </c>
      <c r="K145" s="735"/>
    </row>
    <row r="146" spans="1:12" ht="12.75" customHeight="1" x14ac:dyDescent="0.25">
      <c r="A146" s="574" t="s">
        <v>1320</v>
      </c>
      <c r="B146" s="169"/>
      <c r="C146" s="748"/>
      <c r="D146" s="753"/>
      <c r="E146" s="733"/>
      <c r="F146" s="733"/>
      <c r="G146" s="733"/>
      <c r="H146" s="733"/>
      <c r="I146" s="44">
        <f t="shared" si="27"/>
        <v>0</v>
      </c>
      <c r="J146" s="124" t="str">
        <f t="shared" si="25"/>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9">SUM(C149:C149)</f>
        <v>0</v>
      </c>
      <c r="D148" s="577">
        <f t="shared" si="29"/>
        <v>0</v>
      </c>
      <c r="E148" s="578">
        <f t="shared" si="29"/>
        <v>0</v>
      </c>
      <c r="F148" s="578">
        <f t="shared" si="29"/>
        <v>0</v>
      </c>
      <c r="G148" s="578">
        <f t="shared" si="29"/>
        <v>0</v>
      </c>
      <c r="H148" s="578">
        <f t="shared" si="29"/>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0">SUM(C152:C152)</f>
        <v>0</v>
      </c>
      <c r="D151" s="577">
        <f t="shared" si="30"/>
        <v>389115.01932775264</v>
      </c>
      <c r="E151" s="578">
        <f t="shared" si="30"/>
        <v>389115.01932775264</v>
      </c>
      <c r="F151" s="578">
        <f t="shared" si="30"/>
        <v>0</v>
      </c>
      <c r="G151" s="578">
        <f t="shared" si="30"/>
        <v>0</v>
      </c>
      <c r="H151" s="578">
        <f t="shared" si="30"/>
        <v>356688.76771710662</v>
      </c>
      <c r="I151" s="578">
        <f>H151-G151</f>
        <v>356688.76771710662</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E152/12*11</f>
        <v>356688.76771710662</v>
      </c>
      <c r="I152" s="44">
        <f>H152-G152</f>
        <v>356688.76771710662</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1">SUM(C155:C155)</f>
        <v>0</v>
      </c>
      <c r="D154" s="577">
        <f t="shared" si="31"/>
        <v>7339876.6095793974</v>
      </c>
      <c r="E154" s="578">
        <f t="shared" si="31"/>
        <v>4365000</v>
      </c>
      <c r="F154" s="578">
        <f t="shared" si="31"/>
        <v>0</v>
      </c>
      <c r="G154" s="578">
        <f t="shared" si="31"/>
        <v>0</v>
      </c>
      <c r="H154" s="578">
        <f t="shared" si="31"/>
        <v>4001250</v>
      </c>
      <c r="I154" s="578">
        <f>H154-G154</f>
        <v>4001250</v>
      </c>
      <c r="J154" s="324">
        <f>IF(I154=0,"",I154/H154)</f>
        <v>1</v>
      </c>
      <c r="K154" s="580">
        <f>SUM(K155)</f>
        <v>4365000</v>
      </c>
    </row>
    <row r="155" spans="1:12" ht="12.75" customHeight="1" x14ac:dyDescent="0.25">
      <c r="A155" s="518" t="s">
        <v>1323</v>
      </c>
      <c r="B155" s="169"/>
      <c r="C155" s="748"/>
      <c r="D155" s="753">
        <v>7339876.6095793974</v>
      </c>
      <c r="E155" s="733">
        <v>4365000</v>
      </c>
      <c r="F155" s="733"/>
      <c r="G155" s="733"/>
      <c r="H155" s="733">
        <f>E155/12*11</f>
        <v>4001250</v>
      </c>
      <c r="I155" s="44">
        <f>H155-G155</f>
        <v>4001250</v>
      </c>
      <c r="J155" s="124">
        <f>IF(I155=0,"",I155/H155)</f>
        <v>1</v>
      </c>
      <c r="K155" s="735">
        <f>E155</f>
        <v>4365000</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2">SUM(C158:C158)</f>
        <v>-4375362.12</v>
      </c>
      <c r="D157" s="577">
        <f t="shared" si="32"/>
        <v>0</v>
      </c>
      <c r="E157" s="578">
        <f t="shared" si="32"/>
        <v>10180000</v>
      </c>
      <c r="F157" s="578">
        <f t="shared" si="32"/>
        <v>0</v>
      </c>
      <c r="G157" s="578">
        <f t="shared" si="32"/>
        <v>0</v>
      </c>
      <c r="H157" s="578">
        <f t="shared" si="32"/>
        <v>9331666.6666666679</v>
      </c>
      <c r="I157" s="578">
        <f>H157-G157</f>
        <v>9331666.6666666679</v>
      </c>
      <c r="J157" s="324">
        <f>IF(I157=0,"",I157/H157)</f>
        <v>1</v>
      </c>
      <c r="K157" s="580">
        <f>SUM(K158)</f>
        <v>10180000</v>
      </c>
    </row>
    <row r="158" spans="1:12" ht="12.75" customHeight="1" x14ac:dyDescent="0.25">
      <c r="A158" s="518" t="s">
        <v>1324</v>
      </c>
      <c r="B158" s="169"/>
      <c r="C158" s="748">
        <v>-4375362.12</v>
      </c>
      <c r="D158" s="753"/>
      <c r="E158" s="733">
        <v>10180000</v>
      </c>
      <c r="F158" s="733"/>
      <c r="G158" s="733"/>
      <c r="H158" s="733">
        <f>E158/12*11</f>
        <v>9331666.6666666679</v>
      </c>
      <c r="I158" s="44">
        <f>H158-G158</f>
        <v>9331666.6666666679</v>
      </c>
      <c r="J158" s="124">
        <f>IF(I158=0,"",I158/H158)</f>
        <v>1</v>
      </c>
      <c r="K158" s="735">
        <f>E158</f>
        <v>10180000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3">SUM(C161:C161)</f>
        <v>0</v>
      </c>
      <c r="D160" s="577">
        <f t="shared" si="33"/>
        <v>0</v>
      </c>
      <c r="E160" s="578">
        <f t="shared" si="33"/>
        <v>0</v>
      </c>
      <c r="F160" s="578">
        <f t="shared" si="33"/>
        <v>0</v>
      </c>
      <c r="G160" s="578">
        <f t="shared" si="33"/>
        <v>0</v>
      </c>
      <c r="H160" s="578">
        <f t="shared" si="33"/>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4">SUM(C164:C164)</f>
        <v>0</v>
      </c>
      <c r="D163" s="577">
        <f t="shared" si="34"/>
        <v>0</v>
      </c>
      <c r="E163" s="578">
        <f t="shared" si="34"/>
        <v>0</v>
      </c>
      <c r="F163" s="578">
        <f t="shared" si="34"/>
        <v>0</v>
      </c>
      <c r="G163" s="578">
        <f t="shared" si="34"/>
        <v>0</v>
      </c>
      <c r="H163" s="578">
        <f t="shared" si="34"/>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5">C7+C75+C103+C110+C117+C135+C138+C148+C151+C154+C157+C160+C163</f>
        <v>203992313.85999998</v>
      </c>
      <c r="D166" s="271">
        <f t="shared" si="35"/>
        <v>15200000</v>
      </c>
      <c r="E166" s="55">
        <f t="shared" si="35"/>
        <v>259787252.79932776</v>
      </c>
      <c r="F166" s="55">
        <f t="shared" si="35"/>
        <v>3858833.4699999993</v>
      </c>
      <c r="G166" s="55">
        <f t="shared" si="35"/>
        <v>58985150.669999994</v>
      </c>
      <c r="H166" s="55">
        <f t="shared" si="35"/>
        <v>238138315.06605038</v>
      </c>
      <c r="I166" s="55">
        <f>H166-G166</f>
        <v>179153164.39605039</v>
      </c>
      <c r="J166" s="290">
        <f>IF(I166=0,"",I166/H166)</f>
        <v>0.75230718058268031</v>
      </c>
      <c r="K166" s="235">
        <f>K7+K75+K103+K110+K117+K135+K138+K148+K151+K154+K157+K160+K163</f>
        <v>259787252.79932776</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-59610022.050000012</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43" activePane="bottomRight" state="frozen"/>
      <selection pane="topRight"/>
      <selection pane="bottomLeft"/>
      <selection pane="bottomRight" activeCell="C25" sqref="C25"/>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"&amp;S71Sc&amp; " - "&amp;Head57</f>
        <v>KZN225 Msunduzi - Supporting Table SC13c Consolidated Monthly Budget Statement - expenditure on repairs and maintenance by asset class - M11 May</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33758097.360000007</v>
      </c>
      <c r="D7" s="602">
        <f t="shared" si="0"/>
        <v>182809088.18959922</v>
      </c>
      <c r="E7" s="102">
        <f t="shared" si="0"/>
        <v>182809088.18959922</v>
      </c>
      <c r="F7" s="102">
        <f t="shared" si="0"/>
        <v>6476894.9499999993</v>
      </c>
      <c r="G7" s="102">
        <f t="shared" si="0"/>
        <v>58479812.520000011</v>
      </c>
      <c r="H7" s="102">
        <f t="shared" si="0"/>
        <v>167574997.50713265</v>
      </c>
      <c r="I7" s="101">
        <f t="shared" ref="I7:I166" si="1">H7-G7</f>
        <v>109095184.98713264</v>
      </c>
      <c r="J7" s="579">
        <f t="shared" ref="J7:J166" si="2">IF(I7=0,"",I7/H7)</f>
        <v>0.65102304407009837</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61762631.93178051</v>
      </c>
      <c r="I8" s="258">
        <f t="shared" si="1"/>
        <v>61762631.93178051</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E9/12*11</f>
        <v>61762631.93178051</v>
      </c>
      <c r="I9" s="258">
        <f t="shared" si="1"/>
        <v>61762631.93178051</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33758097.360000007</v>
      </c>
      <c r="D17" s="649">
        <f t="shared" si="5"/>
        <v>72368461.652195498</v>
      </c>
      <c r="E17" s="408">
        <f t="shared" si="5"/>
        <v>72368461.652195498</v>
      </c>
      <c r="F17" s="408">
        <f t="shared" si="5"/>
        <v>6476894.9499999993</v>
      </c>
      <c r="G17" s="408">
        <f t="shared" si="5"/>
        <v>58479812.520000011</v>
      </c>
      <c r="H17" s="408">
        <f t="shared" si="5"/>
        <v>66337756.514512546</v>
      </c>
      <c r="I17" s="258">
        <f t="shared" si="1"/>
        <v>7857943.9945125356</v>
      </c>
      <c r="J17" s="575">
        <f t="shared" si="2"/>
        <v>0.11845356863694166</v>
      </c>
      <c r="K17" s="642">
        <f>SUM(K18:K26)</f>
        <v>72368461.652195498</v>
      </c>
    </row>
    <row r="18" spans="1:11" ht="12.75" customHeight="1" x14ac:dyDescent="0.25">
      <c r="A18" s="574" t="s">
        <v>1225</v>
      </c>
      <c r="B18" s="169"/>
      <c r="C18" s="748"/>
      <c r="D18" s="745">
        <v>72368461.652195498</v>
      </c>
      <c r="E18" s="733">
        <v>72368461.652195498</v>
      </c>
      <c r="F18" s="733"/>
      <c r="G18" s="733"/>
      <c r="H18" s="733">
        <f>E18/12*11</f>
        <v>66337756.514512546</v>
      </c>
      <c r="I18" s="258">
        <f t="shared" si="1"/>
        <v>66337756.514512546</v>
      </c>
      <c r="J18" s="575">
        <f t="shared" si="2"/>
        <v>1</v>
      </c>
      <c r="K18" s="735">
        <f>E18</f>
        <v>72368461.652195498</v>
      </c>
    </row>
    <row r="19" spans="1:11" ht="12.75" customHeight="1" x14ac:dyDescent="0.25">
      <c r="A19" s="574" t="s">
        <v>1226</v>
      </c>
      <c r="B19" s="169"/>
      <c r="C19" s="748"/>
      <c r="D19" s="745"/>
      <c r="E19" s="733"/>
      <c r="F19" s="733">
        <v>2586600.8299999996</v>
      </c>
      <c r="G19" s="733">
        <v>17196832.070000004</v>
      </c>
      <c r="H19" s="733"/>
      <c r="I19" s="258">
        <f t="shared" si="1"/>
        <v>-17196832.070000004</v>
      </c>
      <c r="J19" s="575" t="e">
        <f t="shared" si="2"/>
        <v>#DIV/0!</v>
      </c>
      <c r="K19" s="735"/>
    </row>
    <row r="20" spans="1:11" ht="12.75" customHeight="1" x14ac:dyDescent="0.25">
      <c r="A20" s="574" t="s">
        <v>1227</v>
      </c>
      <c r="B20" s="169"/>
      <c r="C20" s="748">
        <v>14831031.570000004</v>
      </c>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v>11000.64</v>
      </c>
      <c r="G22" s="733">
        <v>1417057.4300000002</v>
      </c>
      <c r="H22" s="733"/>
      <c r="I22" s="258">
        <f t="shared" si="1"/>
        <v>-1417057.4300000002</v>
      </c>
      <c r="J22" s="575" t="e">
        <f t="shared" si="2"/>
        <v>#DIV/0!</v>
      </c>
      <c r="K22" s="735"/>
    </row>
    <row r="23" spans="1:11" ht="12.75" customHeight="1" x14ac:dyDescent="0.25">
      <c r="A23" s="574" t="s">
        <v>1230</v>
      </c>
      <c r="B23" s="169"/>
      <c r="C23" s="748">
        <v>235863.78</v>
      </c>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v>18691202.010000002</v>
      </c>
      <c r="D25" s="745"/>
      <c r="E25" s="733"/>
      <c r="F25" s="733">
        <v>3879293.4799999995</v>
      </c>
      <c r="G25" s="733">
        <v>39865923.020000011</v>
      </c>
      <c r="H25" s="733"/>
      <c r="I25" s="258">
        <f t="shared" si="1"/>
        <v>-39865923.020000011</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20303831.906314835</v>
      </c>
      <c r="I27" s="258">
        <f t="shared" si="1"/>
        <v>20303831.906314835</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E34/12*11</f>
        <v>20303831.906314835</v>
      </c>
      <c r="I34" s="258">
        <f t="shared" si="1"/>
        <v>20303831.906314835</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8044110.4910885347</v>
      </c>
      <c r="I38" s="258">
        <f t="shared" si="1"/>
        <v>8044110.4910885347</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E41/12*11</f>
        <v>8044110.4910885347</v>
      </c>
      <c r="I41" s="258">
        <f t="shared" si="1"/>
        <v>8044110.4910885347</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11126666.663436191</v>
      </c>
      <c r="I45" s="258">
        <f t="shared" si="1"/>
        <v>11126666.663436191</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E46/12*11</f>
        <v>11126666.663436191</v>
      </c>
      <c r="I46" s="258">
        <f t="shared" si="1"/>
        <v>11126666.663436191</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21553327.903117094</v>
      </c>
      <c r="I75" s="578">
        <f t="shared" si="1"/>
        <v>21553327.903117094</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21553327.903117094</v>
      </c>
      <c r="I76" s="258">
        <f t="shared" si="1"/>
        <v>21553327.903117094</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E77/12*11</f>
        <v>850215.58853101055</v>
      </c>
      <c r="I77" s="44">
        <f t="shared" si="1"/>
        <v>850215.58853101055</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E80/12*11</f>
        <v>423778.73321464658</v>
      </c>
      <c r="I80" s="44">
        <f t="shared" si="1"/>
        <v>423778.73321464658</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E86/12*11</f>
        <v>804586.24352010305</v>
      </c>
      <c r="I86" s="44">
        <f t="shared" si="1"/>
        <v>804586.24352010305</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E88/12*11</f>
        <v>3492914.278211785</v>
      </c>
      <c r="I88" s="44">
        <f t="shared" si="1"/>
        <v>3492914.278211785</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E90/12*11</f>
        <v>11511695.124549417</v>
      </c>
      <c r="I90" s="44">
        <f t="shared" si="1"/>
        <v>11511695.124549417</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E93/12*11</f>
        <v>4470137.935090133</v>
      </c>
      <c r="I93" s="44">
        <f t="shared" si="1"/>
        <v>4470137.935090133</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24733504.397631712</v>
      </c>
      <c r="I103" s="99">
        <f t="shared" si="1"/>
        <v>24733504.397631712</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E105/12*11</f>
        <v>24733504.397631712</v>
      </c>
      <c r="I105" s="44">
        <f t="shared" si="1"/>
        <v>24733504.397631712</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14844653.409999987</v>
      </c>
      <c r="D117" s="577">
        <f t="shared" si="19"/>
        <v>0</v>
      </c>
      <c r="E117" s="578">
        <f t="shared" si="19"/>
        <v>0</v>
      </c>
      <c r="F117" s="578">
        <f t="shared" si="19"/>
        <v>1780761.22</v>
      </c>
      <c r="G117" s="578">
        <f t="shared" si="19"/>
        <v>10980312.300000003</v>
      </c>
      <c r="H117" s="578">
        <f t="shared" si="19"/>
        <v>0</v>
      </c>
      <c r="I117" s="578">
        <f t="shared" si="1"/>
        <v>-10980312.300000003</v>
      </c>
      <c r="J117" s="579" t="e">
        <f t="shared" si="2"/>
        <v>#DIV/0!</v>
      </c>
      <c r="K117" s="580">
        <f>+K118+K130</f>
        <v>0</v>
      </c>
    </row>
    <row r="118" spans="1:11" ht="12.75" customHeight="1" x14ac:dyDescent="0.25">
      <c r="A118" s="518" t="s">
        <v>1298</v>
      </c>
      <c r="B118" s="169"/>
      <c r="C118" s="648">
        <f t="shared" ref="C118:H118" si="20">SUM(C119:C129)</f>
        <v>14844653.409999987</v>
      </c>
      <c r="D118" s="649">
        <f t="shared" si="20"/>
        <v>0</v>
      </c>
      <c r="E118" s="408">
        <f t="shared" si="20"/>
        <v>0</v>
      </c>
      <c r="F118" s="408">
        <f t="shared" si="20"/>
        <v>1780761.22</v>
      </c>
      <c r="G118" s="408">
        <f t="shared" si="20"/>
        <v>10980312.300000003</v>
      </c>
      <c r="H118" s="408">
        <f t="shared" si="20"/>
        <v>0</v>
      </c>
      <c r="I118" s="258">
        <f t="shared" si="1"/>
        <v>-10980312.300000003</v>
      </c>
      <c r="J118" s="575" t="e">
        <f t="shared" si="2"/>
        <v>#DIV/0!</v>
      </c>
      <c r="K118" s="642">
        <f>SUM(K119:K129)</f>
        <v>0</v>
      </c>
    </row>
    <row r="119" spans="1:11" ht="12.75" customHeight="1" x14ac:dyDescent="0.25">
      <c r="A119" s="574" t="s">
        <v>1299</v>
      </c>
      <c r="B119" s="169"/>
      <c r="C119" s="748">
        <v>14844653.409999987</v>
      </c>
      <c r="D119" s="753"/>
      <c r="E119" s="733"/>
      <c r="F119" s="733">
        <v>1780761.22</v>
      </c>
      <c r="G119" s="733">
        <v>10980312.300000003</v>
      </c>
      <c r="H119" s="733"/>
      <c r="I119" s="44">
        <f t="shared" si="1"/>
        <v>-10980312.300000003</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8558840.2300000023</v>
      </c>
      <c r="D154" s="577">
        <f t="shared" si="29"/>
        <v>0</v>
      </c>
      <c r="E154" s="578">
        <f t="shared" si="29"/>
        <v>0</v>
      </c>
      <c r="F154" s="578">
        <f t="shared" si="29"/>
        <v>843755.57000000007</v>
      </c>
      <c r="G154" s="578">
        <f t="shared" si="29"/>
        <v>15934758.759999998</v>
      </c>
      <c r="H154" s="578">
        <f t="shared" si="29"/>
        <v>0</v>
      </c>
      <c r="I154" s="578">
        <f>H154-G154</f>
        <v>-15934758.759999998</v>
      </c>
      <c r="J154" s="324" t="e">
        <f>IF(I154=0,"",I154/H154)</f>
        <v>#DIV/0!</v>
      </c>
      <c r="K154" s="580">
        <f>SUM(K155)</f>
        <v>0</v>
      </c>
    </row>
    <row r="155" spans="1:12" ht="12.75" customHeight="1" x14ac:dyDescent="0.25">
      <c r="A155" s="518" t="s">
        <v>1323</v>
      </c>
      <c r="B155" s="169"/>
      <c r="C155" s="748">
        <v>8558840.2300000023</v>
      </c>
      <c r="D155" s="753"/>
      <c r="E155" s="733"/>
      <c r="F155" s="733">
        <v>843755.57000000007</v>
      </c>
      <c r="G155" s="733">
        <v>15934758.759999998</v>
      </c>
      <c r="H155" s="733"/>
      <c r="I155" s="44">
        <f>H155-G155</f>
        <v>-15934758.759999998</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57161591</v>
      </c>
      <c r="D166" s="271">
        <f t="shared" si="33"/>
        <v>233303814.33587065</v>
      </c>
      <c r="E166" s="55">
        <f t="shared" si="33"/>
        <v>233303814.33587065</v>
      </c>
      <c r="F166" s="55">
        <f t="shared" si="33"/>
        <v>9101411.7399999984</v>
      </c>
      <c r="G166" s="55">
        <f t="shared" si="33"/>
        <v>85394883.580000013</v>
      </c>
      <c r="H166" s="55">
        <f t="shared" si="33"/>
        <v>213861829.80788144</v>
      </c>
      <c r="I166" s="55">
        <f t="shared" si="1"/>
        <v>128466946.22788143</v>
      </c>
      <c r="J166" s="290">
        <f t="shared" si="2"/>
        <v>0.60070067829910168</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34" activePane="bottomRight" state="frozen"/>
      <selection pane="topRight"/>
      <selection pane="bottomLeft"/>
      <selection pane="bottomRight" activeCell="C158" sqref="C15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"&amp;S71Sd&amp; " - "&amp;Head57</f>
        <v>KZN225 Msunduzi - Supporting Table SC13d Consolidated Monthly Budget Statement - depreciation by asset class - M11 May</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312549916.11000001</v>
      </c>
      <c r="D7" s="602">
        <f t="shared" si="0"/>
        <v>102185430.65296483</v>
      </c>
      <c r="E7" s="102">
        <f t="shared" si="0"/>
        <v>102185430.65296483</v>
      </c>
      <c r="F7" s="102">
        <f t="shared" si="0"/>
        <v>27289744.68</v>
      </c>
      <c r="G7" s="102">
        <f t="shared" si="0"/>
        <v>294390008.07000005</v>
      </c>
      <c r="H7" s="102">
        <f t="shared" si="0"/>
        <v>93669978.098551095</v>
      </c>
      <c r="I7" s="101">
        <f t="shared" ref="I7:I166" si="1">H7-G7</f>
        <v>-200720029.97144896</v>
      </c>
      <c r="J7" s="579">
        <f t="shared" ref="J7:J166" si="2">IF(I7=0,"",I7/H7)</f>
        <v>-2.14284271274484</v>
      </c>
      <c r="K7" s="603">
        <f>K8+K13+K17+K27+K38+K45+K53+K63+K69</f>
        <v>102185430.65296483</v>
      </c>
    </row>
    <row r="8" spans="1:11" ht="12.75" customHeight="1" x14ac:dyDescent="0.25">
      <c r="A8" s="518" t="s">
        <v>1216</v>
      </c>
      <c r="B8" s="169"/>
      <c r="C8" s="677">
        <f t="shared" ref="C8:H8" si="3">SUM(C9:C12)</f>
        <v>118564391.15000002</v>
      </c>
      <c r="D8" s="609">
        <f t="shared" si="3"/>
        <v>14933619.963149311</v>
      </c>
      <c r="E8" s="608">
        <f t="shared" si="3"/>
        <v>14933619.963149311</v>
      </c>
      <c r="F8" s="608">
        <f t="shared" si="3"/>
        <v>10168169.960000001</v>
      </c>
      <c r="G8" s="608">
        <f t="shared" si="3"/>
        <v>109836629.13999999</v>
      </c>
      <c r="H8" s="608">
        <f t="shared" si="3"/>
        <v>13689151.632886868</v>
      </c>
      <c r="I8" s="258">
        <f t="shared" si="1"/>
        <v>-96147477.507113114</v>
      </c>
      <c r="J8" s="575">
        <f t="shared" si="2"/>
        <v>-7.0236257209780675</v>
      </c>
      <c r="K8" s="610">
        <f>SUM(K9:K12)</f>
        <v>14933619.963149311</v>
      </c>
    </row>
    <row r="9" spans="1:11" ht="12.75" customHeight="1" x14ac:dyDescent="0.25">
      <c r="A9" s="574" t="s">
        <v>168</v>
      </c>
      <c r="B9" s="169"/>
      <c r="C9" s="748">
        <v>118564391.15000002</v>
      </c>
      <c r="D9" s="745">
        <v>14851561.889929518</v>
      </c>
      <c r="E9" s="733">
        <v>14851561.889929518</v>
      </c>
      <c r="F9" s="733">
        <v>10168169.960000001</v>
      </c>
      <c r="G9" s="733">
        <v>109836629.13999999</v>
      </c>
      <c r="H9" s="733">
        <f>E9/12*11</f>
        <v>13613931.732435392</v>
      </c>
      <c r="I9" s="258">
        <f t="shared" si="1"/>
        <v>-96222697.407564595</v>
      </c>
      <c r="J9" s="575">
        <f t="shared" si="2"/>
        <v>-7.0679579785399254</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E12/12*11</f>
        <v>75219.900451476104</v>
      </c>
      <c r="I12" s="258">
        <f t="shared" si="1"/>
        <v>75219.900451476104</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90036878.400000006</v>
      </c>
      <c r="D17" s="649">
        <f t="shared" si="5"/>
        <v>80844690.254493043</v>
      </c>
      <c r="E17" s="408">
        <f t="shared" si="5"/>
        <v>80844690.254493043</v>
      </c>
      <c r="F17" s="408">
        <f t="shared" si="5"/>
        <v>7845094.2799999993</v>
      </c>
      <c r="G17" s="408">
        <f t="shared" si="5"/>
        <v>84663631.230000019</v>
      </c>
      <c r="H17" s="408">
        <f t="shared" si="5"/>
        <v>74107632.733285278</v>
      </c>
      <c r="I17" s="258">
        <f t="shared" si="1"/>
        <v>-10555998.496714741</v>
      </c>
      <c r="J17" s="575">
        <f t="shared" si="2"/>
        <v>-0.14244144776160875</v>
      </c>
      <c r="K17" s="642">
        <f>SUM(K18:K26)</f>
        <v>80844690.254493043</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v>31560069.609999999</v>
      </c>
      <c r="D19" s="745">
        <v>39300782.18353869</v>
      </c>
      <c r="E19" s="733">
        <v>39300782.18353869</v>
      </c>
      <c r="F19" s="733"/>
      <c r="G19" s="733"/>
      <c r="H19" s="733">
        <f t="shared" ref="H19:H22" si="6">E19/12*11</f>
        <v>36025717.001577131</v>
      </c>
      <c r="I19" s="258">
        <f t="shared" si="1"/>
        <v>36025717.001577131</v>
      </c>
      <c r="J19" s="575">
        <f t="shared" si="2"/>
        <v>1</v>
      </c>
      <c r="K19" s="735">
        <f t="shared" ref="K19:K22" si="7">E19</f>
        <v>39300782.18353869</v>
      </c>
    </row>
    <row r="20" spans="1:11" ht="12.75" customHeight="1" x14ac:dyDescent="0.25">
      <c r="A20" s="574" t="s">
        <v>1227</v>
      </c>
      <c r="B20" s="169"/>
      <c r="C20" s="748">
        <v>3876703.12</v>
      </c>
      <c r="D20" s="745">
        <v>30417611.026810348</v>
      </c>
      <c r="E20" s="733">
        <v>30417611.026810348</v>
      </c>
      <c r="F20" s="733">
        <v>351596.92000000004</v>
      </c>
      <c r="G20" s="733">
        <v>3717811.16</v>
      </c>
      <c r="H20" s="733">
        <f t="shared" si="6"/>
        <v>27882810.107909486</v>
      </c>
      <c r="I20" s="258">
        <f t="shared" si="1"/>
        <v>24164998.947909486</v>
      </c>
      <c r="J20" s="575">
        <f t="shared" si="2"/>
        <v>0.8666629674121199</v>
      </c>
      <c r="K20" s="735">
        <f t="shared" si="7"/>
        <v>30417611.026810348</v>
      </c>
    </row>
    <row r="21" spans="1:11" ht="12.75" customHeight="1" x14ac:dyDescent="0.25">
      <c r="A21" s="574" t="s">
        <v>1228</v>
      </c>
      <c r="B21" s="169"/>
      <c r="C21" s="748">
        <v>52552829.860000007</v>
      </c>
      <c r="D21" s="745">
        <v>10972255.34036158</v>
      </c>
      <c r="E21" s="733">
        <v>10972255.34036158</v>
      </c>
      <c r="F21" s="733">
        <v>4481365.4799999995</v>
      </c>
      <c r="G21" s="733">
        <v>48427659.830000013</v>
      </c>
      <c r="H21" s="733">
        <f t="shared" si="6"/>
        <v>10057900.728664782</v>
      </c>
      <c r="I21" s="258">
        <f t="shared" si="1"/>
        <v>-38369759.101335227</v>
      </c>
      <c r="J21" s="575">
        <f t="shared" si="2"/>
        <v>-3.81488743391375</v>
      </c>
      <c r="K21" s="735">
        <f t="shared" si="7"/>
        <v>10972255.34036158</v>
      </c>
    </row>
    <row r="22" spans="1:11" ht="12.75" customHeight="1" x14ac:dyDescent="0.25">
      <c r="A22" s="574" t="s">
        <v>1229</v>
      </c>
      <c r="B22" s="169"/>
      <c r="C22" s="748"/>
      <c r="D22" s="745">
        <v>154041.70378242273</v>
      </c>
      <c r="E22" s="733">
        <v>154041.70378242273</v>
      </c>
      <c r="F22" s="733">
        <v>3012131.88</v>
      </c>
      <c r="G22" s="733">
        <v>32518160.240000002</v>
      </c>
      <c r="H22" s="733">
        <f t="shared" si="6"/>
        <v>141204.8951338875</v>
      </c>
      <c r="I22" s="258">
        <f t="shared" si="1"/>
        <v>-32376955.344866116</v>
      </c>
      <c r="J22" s="575">
        <f t="shared" si="2"/>
        <v>-229.29060153450749</v>
      </c>
      <c r="K22" s="735">
        <f t="shared" si="7"/>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v>2047275.81</v>
      </c>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8">SUM(C28:C37)</f>
        <v>83825014.49000001</v>
      </c>
      <c r="D27" s="649">
        <f t="shared" si="8"/>
        <v>6407120.435322484</v>
      </c>
      <c r="E27" s="408">
        <f t="shared" si="8"/>
        <v>6407120.435322484</v>
      </c>
      <c r="F27" s="408">
        <f t="shared" si="8"/>
        <v>7228322.4700000007</v>
      </c>
      <c r="G27" s="408">
        <f t="shared" si="8"/>
        <v>78091459.840000033</v>
      </c>
      <c r="H27" s="408">
        <f t="shared" si="8"/>
        <v>5873193.7323789429</v>
      </c>
      <c r="I27" s="258">
        <f t="shared" si="1"/>
        <v>-72218266.107621089</v>
      </c>
      <c r="J27" s="575">
        <f t="shared" si="2"/>
        <v>-12.296251306930584</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v>83825014.49000001</v>
      </c>
      <c r="D30" s="745">
        <v>6407120.435322484</v>
      </c>
      <c r="E30" s="733">
        <v>6407120.435322484</v>
      </c>
      <c r="F30" s="733"/>
      <c r="G30" s="733"/>
      <c r="H30" s="733">
        <f>E30/12*11</f>
        <v>5873193.7323789429</v>
      </c>
      <c r="I30" s="258">
        <f t="shared" si="1"/>
        <v>5873193.7323789429</v>
      </c>
      <c r="J30" s="575">
        <f t="shared" si="2"/>
        <v>1</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7228322.4700000007</v>
      </c>
      <c r="G34" s="733">
        <v>78091459.840000033</v>
      </c>
      <c r="H34" s="733"/>
      <c r="I34" s="258">
        <f t="shared" si="1"/>
        <v>-78091459.840000033</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9">SUM(C39:C44)</f>
        <v>19740119.909999996</v>
      </c>
      <c r="D38" s="649">
        <f t="shared" si="9"/>
        <v>0</v>
      </c>
      <c r="E38" s="408">
        <f t="shared" si="9"/>
        <v>0</v>
      </c>
      <c r="F38" s="408">
        <f t="shared" si="9"/>
        <v>1746151.27</v>
      </c>
      <c r="G38" s="408">
        <f t="shared" si="9"/>
        <v>18534666.179999996</v>
      </c>
      <c r="H38" s="408">
        <f t="shared" si="9"/>
        <v>0</v>
      </c>
      <c r="I38" s="258">
        <f t="shared" si="1"/>
        <v>-18534666.179999996</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v>19740119.909999996</v>
      </c>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v>1746151.27</v>
      </c>
      <c r="G41" s="733">
        <v>18534666.179999996</v>
      </c>
      <c r="H41" s="733"/>
      <c r="I41" s="258">
        <f t="shared" si="1"/>
        <v>-18534666.179999996</v>
      </c>
      <c r="J41" s="575" t="e">
        <f t="shared" si="2"/>
        <v>#DIV/0!</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10">SUM(C46:C52)</f>
        <v>388705.34</v>
      </c>
      <c r="D45" s="649">
        <f t="shared" si="10"/>
        <v>0</v>
      </c>
      <c r="E45" s="408">
        <f t="shared" si="10"/>
        <v>0</v>
      </c>
      <c r="F45" s="408">
        <f t="shared" si="10"/>
        <v>117892.13000000002</v>
      </c>
      <c r="G45" s="408">
        <f t="shared" si="10"/>
        <v>1273995.6599999999</v>
      </c>
      <c r="H45" s="408">
        <f t="shared" si="10"/>
        <v>0</v>
      </c>
      <c r="I45" s="258">
        <f t="shared" si="1"/>
        <v>-1273995.6599999999</v>
      </c>
      <c r="J45" s="575" t="e">
        <f t="shared" si="2"/>
        <v>#DIV/0!</v>
      </c>
      <c r="K45" s="642">
        <f>SUM(K46:K52)</f>
        <v>0</v>
      </c>
    </row>
    <row r="46" spans="1:11" ht="12.75" customHeight="1" x14ac:dyDescent="0.25">
      <c r="A46" s="574" t="s">
        <v>1249</v>
      </c>
      <c r="B46" s="169"/>
      <c r="C46" s="748">
        <v>388705.34</v>
      </c>
      <c r="D46" s="745"/>
      <c r="E46" s="733"/>
      <c r="F46" s="733">
        <v>117892.13000000002</v>
      </c>
      <c r="G46" s="733">
        <v>1273995.6599999999</v>
      </c>
      <c r="H46" s="733"/>
      <c r="I46" s="258">
        <f t="shared" si="1"/>
        <v>-1273995.6599999999</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1">SUM(C54:C62)</f>
        <v>-5193.1799999999994</v>
      </c>
      <c r="D53" s="649">
        <f t="shared" si="11"/>
        <v>0</v>
      </c>
      <c r="E53" s="408">
        <f t="shared" si="11"/>
        <v>0</v>
      </c>
      <c r="F53" s="408">
        <f t="shared" si="11"/>
        <v>184114.57</v>
      </c>
      <c r="G53" s="408">
        <f t="shared" si="11"/>
        <v>1989626.0199999996</v>
      </c>
      <c r="H53" s="408">
        <f t="shared" si="11"/>
        <v>0</v>
      </c>
      <c r="I53" s="258">
        <f t="shared" si="1"/>
        <v>-1989626.0199999996</v>
      </c>
      <c r="J53" s="575" t="e">
        <f t="shared" si="2"/>
        <v>#DIV/0!</v>
      </c>
      <c r="K53" s="642">
        <f>SUM(K54:K62)</f>
        <v>0</v>
      </c>
    </row>
    <row r="54" spans="1:11" ht="12.75" customHeight="1" x14ac:dyDescent="0.25">
      <c r="A54" s="574" t="s">
        <v>1256</v>
      </c>
      <c r="B54" s="169"/>
      <c r="C54" s="748">
        <v>-5193.1799999999994</v>
      </c>
      <c r="D54" s="745"/>
      <c r="E54" s="733"/>
      <c r="F54" s="733">
        <v>10133.24</v>
      </c>
      <c r="G54" s="733">
        <v>109504.26999999999</v>
      </c>
      <c r="H54" s="733"/>
      <c r="I54" s="258">
        <f t="shared" si="1"/>
        <v>-109504.26999999999</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v>173981.33000000002</v>
      </c>
      <c r="G61" s="733">
        <v>1880121.7499999995</v>
      </c>
      <c r="H61" s="733"/>
      <c r="I61" s="258">
        <f t="shared" si="1"/>
        <v>-1880121.7499999995</v>
      </c>
      <c r="J61" s="575" t="e">
        <f t="shared" si="2"/>
        <v>#DIV/0!</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2">SUM(C64:C68)</f>
        <v>0</v>
      </c>
      <c r="D63" s="649">
        <f t="shared" si="12"/>
        <v>0</v>
      </c>
      <c r="E63" s="408">
        <f t="shared" si="12"/>
        <v>0</v>
      </c>
      <c r="F63" s="408">
        <f t="shared" si="12"/>
        <v>0</v>
      </c>
      <c r="G63" s="408">
        <f t="shared" si="12"/>
        <v>0</v>
      </c>
      <c r="H63" s="408">
        <f t="shared" si="12"/>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3">SUM(C70:C73)</f>
        <v>0</v>
      </c>
      <c r="D69" s="649">
        <f t="shared" si="13"/>
        <v>0</v>
      </c>
      <c r="E69" s="408">
        <f t="shared" si="13"/>
        <v>0</v>
      </c>
      <c r="F69" s="408">
        <f t="shared" si="13"/>
        <v>0</v>
      </c>
      <c r="G69" s="408">
        <f t="shared" si="13"/>
        <v>0</v>
      </c>
      <c r="H69" s="408">
        <f t="shared" si="13"/>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4">+C76+C99</f>
        <v>-5047627.33</v>
      </c>
      <c r="D75" s="577">
        <f t="shared" si="14"/>
        <v>38330211.728626624</v>
      </c>
      <c r="E75" s="578">
        <f t="shared" si="14"/>
        <v>38330211.728626624</v>
      </c>
      <c r="F75" s="578">
        <f t="shared" si="14"/>
        <v>2542324.7099999995</v>
      </c>
      <c r="G75" s="578">
        <f t="shared" si="14"/>
        <v>27468566.609999996</v>
      </c>
      <c r="H75" s="578">
        <f t="shared" si="14"/>
        <v>35136027.417907745</v>
      </c>
      <c r="I75" s="578">
        <f t="shared" si="1"/>
        <v>7667460.807907749</v>
      </c>
      <c r="J75" s="579">
        <f t="shared" si="2"/>
        <v>0.21822218877253841</v>
      </c>
      <c r="K75" s="580">
        <f>+K76+K99</f>
        <v>38330211.728626624</v>
      </c>
    </row>
    <row r="76" spans="1:11" ht="12.75" customHeight="1" x14ac:dyDescent="0.25">
      <c r="A76" s="518" t="s">
        <v>1268</v>
      </c>
      <c r="B76" s="169"/>
      <c r="C76" s="648">
        <f t="shared" ref="C76:H76" si="15">SUM(C77:C98)</f>
        <v>-3151708.14</v>
      </c>
      <c r="D76" s="649">
        <f t="shared" si="15"/>
        <v>22212964.603795335</v>
      </c>
      <c r="E76" s="408">
        <f t="shared" si="15"/>
        <v>22212964.603795335</v>
      </c>
      <c r="F76" s="408">
        <f t="shared" si="15"/>
        <v>1402370.82</v>
      </c>
      <c r="G76" s="408">
        <f t="shared" si="15"/>
        <v>15149710.489999996</v>
      </c>
      <c r="H76" s="408">
        <f t="shared" si="15"/>
        <v>20361884.220145725</v>
      </c>
      <c r="I76" s="258">
        <f t="shared" si="1"/>
        <v>5212173.7301457282</v>
      </c>
      <c r="J76" s="575">
        <f t="shared" si="2"/>
        <v>0.25597698492897264</v>
      </c>
      <c r="K76" s="642">
        <f>SUM(K77:K98)</f>
        <v>22212964.603795335</v>
      </c>
    </row>
    <row r="77" spans="1:11" ht="12.75" customHeight="1" x14ac:dyDescent="0.25">
      <c r="A77" s="574" t="s">
        <v>1269</v>
      </c>
      <c r="B77" s="169"/>
      <c r="C77" s="748"/>
      <c r="D77" s="753">
        <v>216338.10110699103</v>
      </c>
      <c r="E77" s="733">
        <v>216338.10110699103</v>
      </c>
      <c r="F77" s="733"/>
      <c r="G77" s="733"/>
      <c r="H77" s="733">
        <f>E77/12*11</f>
        <v>198309.9260147418</v>
      </c>
      <c r="I77" s="44">
        <f t="shared" si="1"/>
        <v>198309.9260147418</v>
      </c>
      <c r="J77" s="124">
        <f t="shared" si="2"/>
        <v>1</v>
      </c>
      <c r="K77" s="735">
        <f>E77</f>
        <v>216338.10110699103</v>
      </c>
    </row>
    <row r="78" spans="1:11" ht="12.75" customHeight="1" x14ac:dyDescent="0.25">
      <c r="A78" s="574" t="s">
        <v>1270</v>
      </c>
      <c r="B78" s="169"/>
      <c r="C78" s="748">
        <v>-327626.12</v>
      </c>
      <c r="D78" s="753"/>
      <c r="E78" s="733"/>
      <c r="F78" s="733">
        <v>303295.67000000004</v>
      </c>
      <c r="G78" s="733">
        <v>3277550.0299999993</v>
      </c>
      <c r="H78" s="733"/>
      <c r="I78" s="44">
        <f t="shared" si="1"/>
        <v>-3277550.0299999993</v>
      </c>
      <c r="J78" s="124" t="e">
        <f t="shared" si="2"/>
        <v>#DIV/0!</v>
      </c>
      <c r="K78" s="735"/>
    </row>
    <row r="79" spans="1:11" ht="12.75" customHeight="1" x14ac:dyDescent="0.25">
      <c r="A79" s="574" t="s">
        <v>1271</v>
      </c>
      <c r="B79" s="169"/>
      <c r="C79" s="748">
        <v>-87614.97</v>
      </c>
      <c r="D79" s="753"/>
      <c r="E79" s="733"/>
      <c r="F79" s="733">
        <v>42468.67</v>
      </c>
      <c r="G79" s="733">
        <v>458936.52999999997</v>
      </c>
      <c r="H79" s="733"/>
      <c r="I79" s="44">
        <f t="shared" si="1"/>
        <v>-458936.52999999997</v>
      </c>
      <c r="J79" s="124" t="e">
        <f t="shared" si="2"/>
        <v>#DIV/0!</v>
      </c>
      <c r="K79" s="735"/>
    </row>
    <row r="80" spans="1:11" ht="12.75" customHeight="1" x14ac:dyDescent="0.25">
      <c r="A80" s="574" t="s">
        <v>1272</v>
      </c>
      <c r="B80" s="169"/>
      <c r="C80" s="748">
        <v>45877.89</v>
      </c>
      <c r="D80" s="753">
        <v>11576837.362840936</v>
      </c>
      <c r="E80" s="733">
        <v>11576837.362840936</v>
      </c>
      <c r="F80" s="733">
        <v>59173.679999999993</v>
      </c>
      <c r="G80" s="733">
        <v>639458.35000000009</v>
      </c>
      <c r="H80" s="733">
        <f t="shared" ref="H80:H81" si="16">E80/12*11</f>
        <v>10612100.915937524</v>
      </c>
      <c r="I80" s="44">
        <f t="shared" si="1"/>
        <v>9972642.5659375247</v>
      </c>
      <c r="J80" s="124">
        <f t="shared" si="2"/>
        <v>0.93974253024303178</v>
      </c>
      <c r="K80" s="735">
        <f t="shared" ref="K80:K81" si="17">E80</f>
        <v>11576837.362840936</v>
      </c>
    </row>
    <row r="81" spans="1:11" ht="12.75" customHeight="1" x14ac:dyDescent="0.25">
      <c r="A81" s="574" t="s">
        <v>1273</v>
      </c>
      <c r="B81" s="169"/>
      <c r="C81" s="748">
        <v>-175215.03</v>
      </c>
      <c r="D81" s="753">
        <v>4052316.8497124896</v>
      </c>
      <c r="E81" s="733">
        <v>4052316.8497124896</v>
      </c>
      <c r="F81" s="733">
        <v>52548.46</v>
      </c>
      <c r="G81" s="733">
        <v>567862.35</v>
      </c>
      <c r="H81" s="733">
        <f t="shared" si="16"/>
        <v>3714623.7789031155</v>
      </c>
      <c r="I81" s="44">
        <f t="shared" si="1"/>
        <v>3146761.4289031154</v>
      </c>
      <c r="J81" s="124">
        <f t="shared" si="2"/>
        <v>0.84712789671322164</v>
      </c>
      <c r="K81" s="735">
        <f t="shared" si="17"/>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v>-24602.51</v>
      </c>
      <c r="D85" s="753"/>
      <c r="E85" s="733"/>
      <c r="F85" s="733">
        <v>32249.24</v>
      </c>
      <c r="G85" s="733">
        <v>348499.66</v>
      </c>
      <c r="H85" s="733"/>
      <c r="I85" s="44">
        <f t="shared" si="1"/>
        <v>-348499.66</v>
      </c>
      <c r="J85" s="124" t="e">
        <f t="shared" si="2"/>
        <v>#DIV/0!</v>
      </c>
      <c r="K85" s="735"/>
    </row>
    <row r="86" spans="1:11" ht="12.75" customHeight="1" x14ac:dyDescent="0.25">
      <c r="A86" s="574" t="s">
        <v>553</v>
      </c>
      <c r="B86" s="169"/>
      <c r="C86" s="748">
        <v>184774.71</v>
      </c>
      <c r="D86" s="753">
        <v>5202994.7779857824</v>
      </c>
      <c r="E86" s="733">
        <v>5202994.7779857824</v>
      </c>
      <c r="F86" s="733">
        <v>232523.81999999998</v>
      </c>
      <c r="G86" s="733">
        <v>2512757.56</v>
      </c>
      <c r="H86" s="733">
        <f>E86/12*11</f>
        <v>4769411.8798203003</v>
      </c>
      <c r="I86" s="44">
        <f t="shared" si="1"/>
        <v>2256654.3198203002</v>
      </c>
      <c r="J86" s="124">
        <f t="shared" si="2"/>
        <v>0.4731514863223189</v>
      </c>
      <c r="K86" s="735">
        <f>E86</f>
        <v>5202994.7779857824</v>
      </c>
    </row>
    <row r="87" spans="1:11" ht="12.75" customHeight="1" x14ac:dyDescent="0.25">
      <c r="A87" s="574" t="s">
        <v>1277</v>
      </c>
      <c r="B87" s="169"/>
      <c r="C87" s="748">
        <v>-177006.32</v>
      </c>
      <c r="D87" s="753"/>
      <c r="E87" s="733"/>
      <c r="F87" s="733">
        <v>37931.19</v>
      </c>
      <c r="G87" s="733">
        <v>409901.5</v>
      </c>
      <c r="H87" s="733"/>
      <c r="I87" s="44">
        <f t="shared" si="1"/>
        <v>-409901.5</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E89/12*11</f>
        <v>639003.5208469216</v>
      </c>
      <c r="I89" s="44">
        <f t="shared" si="1"/>
        <v>639003.5208469216</v>
      </c>
      <c r="J89" s="124">
        <f t="shared" si="2"/>
        <v>1</v>
      </c>
      <c r="K89" s="735">
        <f>E89</f>
        <v>697094.75001482351</v>
      </c>
    </row>
    <row r="90" spans="1:11" ht="12.75" customHeight="1" x14ac:dyDescent="0.25">
      <c r="A90" s="574" t="s">
        <v>1279</v>
      </c>
      <c r="B90" s="169"/>
      <c r="C90" s="748">
        <v>7529.03</v>
      </c>
      <c r="D90" s="753"/>
      <c r="E90" s="733"/>
      <c r="F90" s="733">
        <v>8163.87</v>
      </c>
      <c r="G90" s="733">
        <v>88222.760000000009</v>
      </c>
      <c r="H90" s="733"/>
      <c r="I90" s="44">
        <f t="shared" si="1"/>
        <v>-88222.760000000009</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v>-404630.22</v>
      </c>
      <c r="D92" s="753">
        <v>467382.76213431195</v>
      </c>
      <c r="E92" s="733">
        <v>467382.76213431195</v>
      </c>
      <c r="F92" s="733">
        <v>88002.93</v>
      </c>
      <c r="G92" s="733">
        <v>951000.5199999999</v>
      </c>
      <c r="H92" s="733">
        <f>E92/12*11</f>
        <v>428434.19862311927</v>
      </c>
      <c r="I92" s="44">
        <f t="shared" si="1"/>
        <v>-522566.32137688063</v>
      </c>
      <c r="J92" s="124">
        <f t="shared" si="2"/>
        <v>-1.2197119722381606</v>
      </c>
      <c r="K92" s="735">
        <f>E92</f>
        <v>467382.76213431195</v>
      </c>
    </row>
    <row r="93" spans="1:11" ht="12.75" customHeight="1" x14ac:dyDescent="0.25">
      <c r="A93" s="574" t="s">
        <v>441</v>
      </c>
      <c r="B93" s="169"/>
      <c r="C93" s="748">
        <v>-2203842.77</v>
      </c>
      <c r="D93" s="753"/>
      <c r="E93" s="733"/>
      <c r="F93" s="733">
        <v>489462.31999999995</v>
      </c>
      <c r="G93" s="733">
        <v>5284406.0799999991</v>
      </c>
      <c r="H93" s="733"/>
      <c r="I93" s="44">
        <f t="shared" si="1"/>
        <v>-5284406.0799999991</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v>10648.17</v>
      </c>
      <c r="D96" s="753"/>
      <c r="E96" s="733"/>
      <c r="F96" s="733">
        <v>56550.97</v>
      </c>
      <c r="G96" s="733">
        <v>611115.14999999991</v>
      </c>
      <c r="H96" s="733"/>
      <c r="I96" s="44">
        <f t="shared" si="1"/>
        <v>-611115.14999999991</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8">SUM(C100:C102)</f>
        <v>-1895919.1900000004</v>
      </c>
      <c r="D99" s="649">
        <f t="shared" si="18"/>
        <v>16117247.124831293</v>
      </c>
      <c r="E99" s="408">
        <f t="shared" si="18"/>
        <v>16117247.124831293</v>
      </c>
      <c r="F99" s="408">
        <f t="shared" si="18"/>
        <v>1139953.8899999994</v>
      </c>
      <c r="G99" s="408">
        <f t="shared" si="18"/>
        <v>12318856.119999999</v>
      </c>
      <c r="H99" s="408">
        <f t="shared" si="18"/>
        <v>14774143.19776202</v>
      </c>
      <c r="I99" s="258">
        <f t="shared" si="1"/>
        <v>2455287.0777620208</v>
      </c>
      <c r="J99" s="575">
        <f t="shared" si="2"/>
        <v>0.16618811966936575</v>
      </c>
      <c r="K99" s="642">
        <f>SUM(K100:K102)</f>
        <v>16117247.124831293</v>
      </c>
    </row>
    <row r="100" spans="1:11" ht="12.75" customHeight="1" x14ac:dyDescent="0.25">
      <c r="A100" s="574" t="s">
        <v>1286</v>
      </c>
      <c r="B100" s="169"/>
      <c r="C100" s="748"/>
      <c r="D100" s="753">
        <v>43464.979285039968</v>
      </c>
      <c r="E100" s="733">
        <v>43464.979285039968</v>
      </c>
      <c r="F100" s="733"/>
      <c r="G100" s="733"/>
      <c r="H100" s="733">
        <f t="shared" ref="H100:H102" si="19">E100/12*11</f>
        <v>39842.897677953304</v>
      </c>
      <c r="I100" s="44">
        <f t="shared" si="1"/>
        <v>39842.897677953304</v>
      </c>
      <c r="J100" s="124">
        <f t="shared" si="2"/>
        <v>1</v>
      </c>
      <c r="K100" s="735">
        <f t="shared" ref="K100:K102" si="20">E100</f>
        <v>43464.979285039968</v>
      </c>
    </row>
    <row r="101" spans="1:11" ht="12.75" customHeight="1" x14ac:dyDescent="0.25">
      <c r="A101" s="574" t="s">
        <v>1287</v>
      </c>
      <c r="B101" s="169"/>
      <c r="C101" s="748">
        <v>-1895919.1900000004</v>
      </c>
      <c r="D101" s="753">
        <v>8669487.8244611993</v>
      </c>
      <c r="E101" s="733">
        <v>8669487.8244611993</v>
      </c>
      <c r="F101" s="733">
        <v>1139953.8899999994</v>
      </c>
      <c r="G101" s="733">
        <v>12318856.119999999</v>
      </c>
      <c r="H101" s="733">
        <f t="shared" si="19"/>
        <v>7947030.5057560997</v>
      </c>
      <c r="I101" s="44">
        <f>H101-G101</f>
        <v>-4371825.6142438995</v>
      </c>
      <c r="J101" s="124">
        <f>IF(I101=0,"",I101/H101)</f>
        <v>-0.55012065337830907</v>
      </c>
      <c r="K101" s="735">
        <f t="shared" si="20"/>
        <v>8669487.8244611993</v>
      </c>
    </row>
    <row r="102" spans="1:11" ht="12.75" customHeight="1" x14ac:dyDescent="0.25">
      <c r="A102" s="574" t="s">
        <v>1219</v>
      </c>
      <c r="B102" s="169"/>
      <c r="C102" s="748"/>
      <c r="D102" s="753">
        <v>7404294.3210850535</v>
      </c>
      <c r="E102" s="733">
        <v>7404294.3210850535</v>
      </c>
      <c r="F102" s="733"/>
      <c r="G102" s="733"/>
      <c r="H102" s="733">
        <f t="shared" si="19"/>
        <v>6787269.7943279659</v>
      </c>
      <c r="I102" s="44">
        <f t="shared" si="1"/>
        <v>6787269.7943279659</v>
      </c>
      <c r="J102" s="124">
        <f t="shared" si="2"/>
        <v>1</v>
      </c>
      <c r="K102" s="735">
        <f t="shared" si="20"/>
        <v>7404294.3210850535</v>
      </c>
    </row>
    <row r="103" spans="1:11" ht="12.75" customHeight="1" x14ac:dyDescent="0.25">
      <c r="A103" s="549" t="s">
        <v>670</v>
      </c>
      <c r="B103" s="169"/>
      <c r="C103" s="249">
        <f t="shared" ref="C103:H103" si="21">SUM(C104:C108)</f>
        <v>0</v>
      </c>
      <c r="D103" s="264">
        <f t="shared" si="21"/>
        <v>0</v>
      </c>
      <c r="E103" s="99">
        <f t="shared" si="21"/>
        <v>0</v>
      </c>
      <c r="F103" s="99">
        <f t="shared" si="21"/>
        <v>0</v>
      </c>
      <c r="G103" s="99">
        <f t="shared" si="21"/>
        <v>0</v>
      </c>
      <c r="H103" s="99">
        <f t="shared" si="21"/>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22">+C111+C114</f>
        <v>0</v>
      </c>
      <c r="D110" s="577">
        <f t="shared" si="22"/>
        <v>0</v>
      </c>
      <c r="E110" s="578">
        <f t="shared" si="22"/>
        <v>0</v>
      </c>
      <c r="F110" s="578">
        <f t="shared" si="22"/>
        <v>0</v>
      </c>
      <c r="G110" s="578">
        <f t="shared" si="22"/>
        <v>0</v>
      </c>
      <c r="H110" s="578">
        <f t="shared" si="22"/>
        <v>0</v>
      </c>
      <c r="I110" s="99">
        <f t="shared" si="1"/>
        <v>0</v>
      </c>
      <c r="J110" s="324" t="str">
        <f t="shared" si="2"/>
        <v/>
      </c>
      <c r="K110" s="580">
        <f>+K111+K114</f>
        <v>0</v>
      </c>
    </row>
    <row r="111" spans="1:11" ht="12.75" customHeight="1" x14ac:dyDescent="0.25">
      <c r="A111" s="518" t="s">
        <v>1294</v>
      </c>
      <c r="B111" s="169"/>
      <c r="C111" s="648">
        <f t="shared" ref="C111:H111" si="23">SUM(C112:C113)</f>
        <v>0</v>
      </c>
      <c r="D111" s="649">
        <f t="shared" si="23"/>
        <v>0</v>
      </c>
      <c r="E111" s="408">
        <f t="shared" si="23"/>
        <v>0</v>
      </c>
      <c r="F111" s="408">
        <f t="shared" si="23"/>
        <v>0</v>
      </c>
      <c r="G111" s="408">
        <f t="shared" si="23"/>
        <v>0</v>
      </c>
      <c r="H111" s="408">
        <f t="shared" si="23"/>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4">SUM(C115:C116)</f>
        <v>0</v>
      </c>
      <c r="D114" s="649">
        <f t="shared" si="24"/>
        <v>0</v>
      </c>
      <c r="E114" s="408">
        <f t="shared" si="24"/>
        <v>0</v>
      </c>
      <c r="F114" s="408">
        <f t="shared" si="24"/>
        <v>0</v>
      </c>
      <c r="G114" s="408">
        <f t="shared" si="24"/>
        <v>0</v>
      </c>
      <c r="H114" s="408">
        <f t="shared" si="24"/>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5">+C118+C130</f>
        <v>499923.91999999963</v>
      </c>
      <c r="D117" s="577">
        <f t="shared" si="25"/>
        <v>163023969.56765977</v>
      </c>
      <c r="E117" s="578">
        <f t="shared" si="25"/>
        <v>163023969.56765977</v>
      </c>
      <c r="F117" s="578">
        <f t="shared" si="25"/>
        <v>2205313.9000000008</v>
      </c>
      <c r="G117" s="578">
        <f t="shared" si="25"/>
        <v>23831851.54000001</v>
      </c>
      <c r="H117" s="578">
        <f t="shared" si="25"/>
        <v>149438638.77035478</v>
      </c>
      <c r="I117" s="578">
        <f t="shared" si="1"/>
        <v>125606787.23035477</v>
      </c>
      <c r="J117" s="579">
        <f t="shared" si="2"/>
        <v>0.84052416606509062</v>
      </c>
      <c r="K117" s="580">
        <f>+K118+K130</f>
        <v>163023969.56765977</v>
      </c>
    </row>
    <row r="118" spans="1:11" ht="12.75" customHeight="1" x14ac:dyDescent="0.25">
      <c r="A118" s="518" t="s">
        <v>1298</v>
      </c>
      <c r="B118" s="169"/>
      <c r="C118" s="648">
        <f t="shared" ref="C118:H118" si="26">SUM(C119:C129)</f>
        <v>515271.29999999964</v>
      </c>
      <c r="D118" s="649">
        <f t="shared" si="26"/>
        <v>163023969.56765977</v>
      </c>
      <c r="E118" s="408">
        <f t="shared" si="26"/>
        <v>163023969.56765977</v>
      </c>
      <c r="F118" s="408">
        <f t="shared" si="26"/>
        <v>2202316.4200000009</v>
      </c>
      <c r="G118" s="408">
        <f t="shared" si="26"/>
        <v>23799459.520000011</v>
      </c>
      <c r="H118" s="408">
        <f t="shared" si="26"/>
        <v>149438638.77035478</v>
      </c>
      <c r="I118" s="258">
        <f t="shared" si="1"/>
        <v>125639179.25035477</v>
      </c>
      <c r="J118" s="575">
        <f t="shared" si="2"/>
        <v>0.84074092406199508</v>
      </c>
      <c r="K118" s="642">
        <f>SUM(K119:K129)</f>
        <v>163023969.56765977</v>
      </c>
    </row>
    <row r="119" spans="1:11" ht="12.75" customHeight="1" x14ac:dyDescent="0.25">
      <c r="A119" s="574" t="s">
        <v>1299</v>
      </c>
      <c r="B119" s="169"/>
      <c r="C119" s="748">
        <v>582720.22999999963</v>
      </c>
      <c r="D119" s="753">
        <v>108029891.92018634</v>
      </c>
      <c r="E119" s="733">
        <v>108029891.92018634</v>
      </c>
      <c r="F119" s="733">
        <v>2131920.9500000007</v>
      </c>
      <c r="G119" s="733">
        <v>23038735.160000011</v>
      </c>
      <c r="H119" s="733">
        <f>E119/12*11</f>
        <v>99027400.926837474</v>
      </c>
      <c r="I119" s="44">
        <f t="shared" si="1"/>
        <v>75988665.766837463</v>
      </c>
      <c r="J119" s="124">
        <f t="shared" si="2"/>
        <v>0.76734989564129552</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v>-67448.930000000008</v>
      </c>
      <c r="D122" s="753">
        <v>1728823.5775516906</v>
      </c>
      <c r="E122" s="733">
        <v>1728823.5775516906</v>
      </c>
      <c r="F122" s="733">
        <v>70395.47</v>
      </c>
      <c r="G122" s="733">
        <v>760724.35999999987</v>
      </c>
      <c r="H122" s="733">
        <f>E122/12*11</f>
        <v>1584754.9460890498</v>
      </c>
      <c r="I122" s="44">
        <f t="shared" si="1"/>
        <v>824030.58608904993</v>
      </c>
      <c r="J122" s="124">
        <f t="shared" si="2"/>
        <v>0.51997350639140794</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E129/12*11</f>
        <v>48826482.897428252</v>
      </c>
      <c r="I129" s="44">
        <f t="shared" si="1"/>
        <v>48826482.897428252</v>
      </c>
      <c r="J129" s="124">
        <f t="shared" si="2"/>
        <v>1</v>
      </c>
      <c r="K129" s="735">
        <f>E129</f>
        <v>53265254.069921724</v>
      </c>
    </row>
    <row r="130" spans="1:11" ht="12.75" customHeight="1" x14ac:dyDescent="0.25">
      <c r="A130" s="518" t="s">
        <v>711</v>
      </c>
      <c r="B130" s="169"/>
      <c r="C130" s="648">
        <f t="shared" ref="C130:H130" si="27">SUM(C131:C133)</f>
        <v>-15347.38</v>
      </c>
      <c r="D130" s="649">
        <f t="shared" si="27"/>
        <v>0</v>
      </c>
      <c r="E130" s="408">
        <f t="shared" si="27"/>
        <v>0</v>
      </c>
      <c r="F130" s="408">
        <f t="shared" si="27"/>
        <v>2997.48</v>
      </c>
      <c r="G130" s="408">
        <f t="shared" si="27"/>
        <v>32392.02</v>
      </c>
      <c r="H130" s="408">
        <f t="shared" si="27"/>
        <v>0</v>
      </c>
      <c r="I130" s="258">
        <f t="shared" si="1"/>
        <v>-32392.02</v>
      </c>
      <c r="J130" s="575" t="e">
        <f t="shared" si="2"/>
        <v>#DIV/0!</v>
      </c>
      <c r="K130" s="642">
        <f>SUM(K131:K133)</f>
        <v>0</v>
      </c>
    </row>
    <row r="131" spans="1:11" ht="12.75" customHeight="1" x14ac:dyDescent="0.25">
      <c r="A131" s="574" t="s">
        <v>1309</v>
      </c>
      <c r="B131" s="169"/>
      <c r="C131" s="748">
        <v>1918.35</v>
      </c>
      <c r="D131" s="753"/>
      <c r="E131" s="733"/>
      <c r="F131" s="733">
        <v>2997.48</v>
      </c>
      <c r="G131" s="733">
        <v>32392.02</v>
      </c>
      <c r="H131" s="733"/>
      <c r="I131" s="44">
        <f t="shared" si="1"/>
        <v>-32392.02</v>
      </c>
      <c r="J131" s="124" t="e">
        <f t="shared" si="2"/>
        <v>#DIV/0!</v>
      </c>
      <c r="K131" s="735"/>
    </row>
    <row r="132" spans="1:11" ht="12.75" customHeight="1" x14ac:dyDescent="0.25">
      <c r="A132" s="574" t="s">
        <v>1310</v>
      </c>
      <c r="B132" s="169"/>
      <c r="C132" s="748">
        <v>-17265.73</v>
      </c>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8">SUM(C136:C136)</f>
        <v>0</v>
      </c>
      <c r="D135" s="577">
        <f t="shared" si="28"/>
        <v>0</v>
      </c>
      <c r="E135" s="578">
        <f t="shared" si="28"/>
        <v>0</v>
      </c>
      <c r="F135" s="578">
        <f t="shared" si="28"/>
        <v>0</v>
      </c>
      <c r="G135" s="578">
        <f t="shared" si="28"/>
        <v>0</v>
      </c>
      <c r="H135" s="578">
        <f t="shared" si="28"/>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9">IF(I137=0,"",I137/H137)</f>
        <v/>
      </c>
      <c r="K137" s="144"/>
    </row>
    <row r="138" spans="1:11" s="100" customFormat="1" ht="12.75" customHeight="1" x14ac:dyDescent="0.25">
      <c r="A138" s="549" t="s">
        <v>1312</v>
      </c>
      <c r="B138" s="171"/>
      <c r="C138" s="940">
        <f t="shared" ref="C138:H138" si="30">SUM(C139:C140)</f>
        <v>-608584.66999999993</v>
      </c>
      <c r="D138" s="941">
        <f t="shared" si="30"/>
        <v>84895040.004187733</v>
      </c>
      <c r="E138" s="942">
        <f t="shared" si="30"/>
        <v>84895040.004187733</v>
      </c>
      <c r="F138" s="942">
        <f t="shared" si="30"/>
        <v>889563.82999999984</v>
      </c>
      <c r="G138" s="942">
        <f t="shared" si="30"/>
        <v>9613028.6500000004</v>
      </c>
      <c r="H138" s="942">
        <f t="shared" si="30"/>
        <v>77820453.337172076</v>
      </c>
      <c r="I138" s="942">
        <f t="shared" ref="I138:I146" si="31">H138-G138</f>
        <v>68207424.68717207</v>
      </c>
      <c r="J138" s="324">
        <f t="shared" si="29"/>
        <v>0.87647169557918514</v>
      </c>
      <c r="K138" s="943">
        <f>SUM(K139:K140)</f>
        <v>84895040.004187733</v>
      </c>
    </row>
    <row r="139" spans="1:11" ht="12.75" customHeight="1" x14ac:dyDescent="0.25">
      <c r="A139" s="517" t="s">
        <v>1313</v>
      </c>
      <c r="B139" s="169"/>
      <c r="C139" s="748"/>
      <c r="D139" s="753"/>
      <c r="E139" s="733"/>
      <c r="F139" s="733"/>
      <c r="G139" s="733"/>
      <c r="H139" s="733"/>
      <c r="I139" s="44">
        <f t="shared" si="31"/>
        <v>0</v>
      </c>
      <c r="J139" s="124" t="str">
        <f t="shared" si="29"/>
        <v/>
      </c>
      <c r="K139" s="735"/>
    </row>
    <row r="140" spans="1:11" ht="12.75" customHeight="1" x14ac:dyDescent="0.25">
      <c r="A140" s="517" t="s">
        <v>1314</v>
      </c>
      <c r="B140" s="169"/>
      <c r="C140" s="648">
        <f t="shared" ref="C140:H140" si="32">SUM(C141:C146)</f>
        <v>-608584.66999999993</v>
      </c>
      <c r="D140" s="649">
        <f t="shared" si="32"/>
        <v>84895040.004187733</v>
      </c>
      <c r="E140" s="408">
        <f t="shared" si="32"/>
        <v>84895040.004187733</v>
      </c>
      <c r="F140" s="408">
        <f t="shared" si="32"/>
        <v>889563.82999999984</v>
      </c>
      <c r="G140" s="408">
        <f t="shared" si="32"/>
        <v>9613028.6500000004</v>
      </c>
      <c r="H140" s="408">
        <f t="shared" si="32"/>
        <v>77820453.337172076</v>
      </c>
      <c r="I140" s="258">
        <f t="shared" si="31"/>
        <v>68207424.68717207</v>
      </c>
      <c r="J140" s="575">
        <f t="shared" si="29"/>
        <v>0.87647169557918514</v>
      </c>
      <c r="K140" s="642">
        <f>SUM(K141:K146)</f>
        <v>84895040.004187733</v>
      </c>
    </row>
    <row r="141" spans="1:11" ht="12.75" customHeight="1" x14ac:dyDescent="0.25">
      <c r="A141" s="574" t="s">
        <v>1315</v>
      </c>
      <c r="B141" s="169"/>
      <c r="C141" s="748"/>
      <c r="D141" s="753"/>
      <c r="E141" s="733"/>
      <c r="F141" s="733"/>
      <c r="G141" s="733"/>
      <c r="H141" s="733"/>
      <c r="I141" s="44">
        <f t="shared" si="31"/>
        <v>0</v>
      </c>
      <c r="J141" s="124" t="str">
        <f t="shared" si="29"/>
        <v/>
      </c>
      <c r="K141" s="735"/>
    </row>
    <row r="142" spans="1:11" ht="12.75" customHeight="1" x14ac:dyDescent="0.25">
      <c r="A142" s="574" t="s">
        <v>1316</v>
      </c>
      <c r="B142" s="169"/>
      <c r="C142" s="748"/>
      <c r="D142" s="753"/>
      <c r="E142" s="733"/>
      <c r="F142" s="733"/>
      <c r="G142" s="733"/>
      <c r="H142" s="733"/>
      <c r="I142" s="44">
        <f t="shared" si="31"/>
        <v>0</v>
      </c>
      <c r="J142" s="124" t="str">
        <f t="shared" si="29"/>
        <v/>
      </c>
      <c r="K142" s="735"/>
    </row>
    <row r="143" spans="1:11" ht="12.75" customHeight="1" x14ac:dyDescent="0.25">
      <c r="A143" s="574" t="s">
        <v>1317</v>
      </c>
      <c r="B143" s="169"/>
      <c r="C143" s="748"/>
      <c r="D143" s="753"/>
      <c r="E143" s="733"/>
      <c r="F143" s="733"/>
      <c r="G143" s="733"/>
      <c r="H143" s="733"/>
      <c r="I143" s="44">
        <f t="shared" si="31"/>
        <v>0</v>
      </c>
      <c r="J143" s="124" t="str">
        <f t="shared" si="29"/>
        <v/>
      </c>
      <c r="K143" s="735"/>
    </row>
    <row r="144" spans="1:11" ht="12.75" customHeight="1" x14ac:dyDescent="0.25">
      <c r="A144" s="574" t="s">
        <v>1318</v>
      </c>
      <c r="B144" s="169"/>
      <c r="C144" s="748">
        <v>-608584.66999999993</v>
      </c>
      <c r="D144" s="753">
        <v>83121985.914557993</v>
      </c>
      <c r="E144" s="733">
        <v>83121985.914557993</v>
      </c>
      <c r="F144" s="733">
        <v>889563.82999999984</v>
      </c>
      <c r="G144" s="733">
        <v>9613028.6500000004</v>
      </c>
      <c r="H144" s="733">
        <f t="shared" ref="H144:H145" si="33">E144/12*11</f>
        <v>76195153.755011484</v>
      </c>
      <c r="I144" s="44">
        <f t="shared" si="31"/>
        <v>66582125.105011486</v>
      </c>
      <c r="J144" s="124">
        <f t="shared" si="29"/>
        <v>0.87383674451384996</v>
      </c>
      <c r="K144" s="735">
        <f t="shared" ref="K144:K145" si="34">E144</f>
        <v>83121985.914557993</v>
      </c>
    </row>
    <row r="145" spans="1:12" ht="12.75" customHeight="1" x14ac:dyDescent="0.25">
      <c r="A145" s="574" t="s">
        <v>1319</v>
      </c>
      <c r="B145" s="169"/>
      <c r="C145" s="748"/>
      <c r="D145" s="753">
        <v>1773054.0896297402</v>
      </c>
      <c r="E145" s="733">
        <v>1773054.0896297402</v>
      </c>
      <c r="F145" s="733"/>
      <c r="G145" s="733"/>
      <c r="H145" s="733">
        <f t="shared" si="33"/>
        <v>1625299.5821605953</v>
      </c>
      <c r="I145" s="44">
        <f t="shared" si="31"/>
        <v>1625299.5821605953</v>
      </c>
      <c r="J145" s="124">
        <f t="shared" si="29"/>
        <v>1</v>
      </c>
      <c r="K145" s="735">
        <f t="shared" si="34"/>
        <v>1773054.0896297402</v>
      </c>
    </row>
    <row r="146" spans="1:12" ht="12.75" customHeight="1" x14ac:dyDescent="0.25">
      <c r="A146" s="574" t="s">
        <v>1320</v>
      </c>
      <c r="B146" s="169"/>
      <c r="C146" s="748"/>
      <c r="D146" s="753"/>
      <c r="E146" s="733"/>
      <c r="F146" s="733"/>
      <c r="G146" s="733"/>
      <c r="H146" s="733"/>
      <c r="I146" s="44">
        <f t="shared" si="31"/>
        <v>0</v>
      </c>
      <c r="J146" s="124" t="str">
        <f t="shared" si="29"/>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5">SUM(C149:C149)</f>
        <v>-1746067.3700000003</v>
      </c>
      <c r="D148" s="577">
        <f t="shared" si="35"/>
        <v>65065902.198033363</v>
      </c>
      <c r="E148" s="578">
        <f t="shared" si="35"/>
        <v>57565902.473793715</v>
      </c>
      <c r="F148" s="578">
        <f t="shared" si="35"/>
        <v>905768.34</v>
      </c>
      <c r="G148" s="578">
        <f t="shared" si="35"/>
        <v>9421230.5700000022</v>
      </c>
      <c r="H148" s="578">
        <f t="shared" si="35"/>
        <v>52768743.934310906</v>
      </c>
      <c r="I148" s="578">
        <f>H148-G148</f>
        <v>43347513.364310905</v>
      </c>
      <c r="J148" s="324">
        <f>IF(I148=0,"",I148/H148)</f>
        <v>0.82146191348181408</v>
      </c>
      <c r="K148" s="580">
        <f>SUM(K149)</f>
        <v>57565902.473793715</v>
      </c>
    </row>
    <row r="149" spans="1:12" ht="12.75" customHeight="1" x14ac:dyDescent="0.25">
      <c r="A149" s="518" t="s">
        <v>1321</v>
      </c>
      <c r="B149" s="169"/>
      <c r="C149" s="748">
        <v>-1746067.3700000003</v>
      </c>
      <c r="D149" s="753">
        <v>65065902.198033363</v>
      </c>
      <c r="E149" s="733">
        <v>57565902.473793715</v>
      </c>
      <c r="F149" s="733">
        <v>905768.34</v>
      </c>
      <c r="G149" s="733">
        <v>9421230.5700000022</v>
      </c>
      <c r="H149" s="733">
        <f>E149/12*11</f>
        <v>52768743.934310906</v>
      </c>
      <c r="I149" s="44">
        <f>H149-G149</f>
        <v>43347513.364310905</v>
      </c>
      <c r="J149" s="124">
        <f>IF(I149=0,"",I149/H149)</f>
        <v>0.82146191348181408</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6">SUM(C152:C152)</f>
        <v>-183148.56999999992</v>
      </c>
      <c r="D151" s="577">
        <f t="shared" si="36"/>
        <v>27965528.287261501</v>
      </c>
      <c r="E151" s="578">
        <f t="shared" si="36"/>
        <v>27965528.287261501</v>
      </c>
      <c r="F151" s="578">
        <f t="shared" si="36"/>
        <v>140746.52999999997</v>
      </c>
      <c r="G151" s="578">
        <f t="shared" si="36"/>
        <v>1512127.21</v>
      </c>
      <c r="H151" s="578">
        <f t="shared" si="36"/>
        <v>25635067.596656375</v>
      </c>
      <c r="I151" s="578">
        <f>H151-G151</f>
        <v>24122940.386656374</v>
      </c>
      <c r="J151" s="324">
        <f>IF(I151=0,"",I151/H151)</f>
        <v>0.94101333244788365</v>
      </c>
      <c r="K151" s="580">
        <f>SUM(K152)</f>
        <v>27965528.287261501</v>
      </c>
    </row>
    <row r="152" spans="1:12" ht="12.75" customHeight="1" x14ac:dyDescent="0.25">
      <c r="A152" s="518" t="s">
        <v>1322</v>
      </c>
      <c r="B152" s="169"/>
      <c r="C152" s="748">
        <v>-183148.56999999992</v>
      </c>
      <c r="D152" s="753">
        <v>27965528.287261501</v>
      </c>
      <c r="E152" s="733">
        <v>27965528.287261501</v>
      </c>
      <c r="F152" s="733">
        <v>140746.52999999997</v>
      </c>
      <c r="G152" s="733">
        <v>1512127.21</v>
      </c>
      <c r="H152" s="733">
        <f>E152/12*11</f>
        <v>25635067.596656375</v>
      </c>
      <c r="I152" s="44">
        <f>H152-G152</f>
        <v>24122940.386656374</v>
      </c>
      <c r="J152" s="124">
        <f>IF(I152=0,"",I152/H152)</f>
        <v>0.94101333244788365</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7">SUM(C155:C155)</f>
        <v>-2007849.4199999995</v>
      </c>
      <c r="D154" s="577">
        <f t="shared" si="37"/>
        <v>7418705.5248501254</v>
      </c>
      <c r="E154" s="578">
        <f t="shared" si="37"/>
        <v>8368705.5248501254</v>
      </c>
      <c r="F154" s="578">
        <f t="shared" si="37"/>
        <v>781091.6800000004</v>
      </c>
      <c r="G154" s="578">
        <f t="shared" si="37"/>
        <v>8204370.9999999963</v>
      </c>
      <c r="H154" s="578">
        <f t="shared" si="37"/>
        <v>7671313.3977792822</v>
      </c>
      <c r="I154" s="578">
        <f>H154-G154</f>
        <v>-533057.60222071409</v>
      </c>
      <c r="J154" s="324">
        <f>IF(I154=0,"",I154/H154)</f>
        <v>-6.9487136632304117E-2</v>
      </c>
      <c r="K154" s="580">
        <f>SUM(K155)</f>
        <v>8368705.5248501254</v>
      </c>
    </row>
    <row r="155" spans="1:12" ht="12.75" customHeight="1" x14ac:dyDescent="0.25">
      <c r="A155" s="518" t="s">
        <v>1323</v>
      </c>
      <c r="B155" s="169"/>
      <c r="C155" s="748">
        <v>-2007849.4199999995</v>
      </c>
      <c r="D155" s="753">
        <v>7418705.5248501254</v>
      </c>
      <c r="E155" s="733">
        <v>8368705.5248501254</v>
      </c>
      <c r="F155" s="733">
        <v>781091.6800000004</v>
      </c>
      <c r="G155" s="733">
        <v>8204370.9999999963</v>
      </c>
      <c r="H155" s="733">
        <f>E155/12*11</f>
        <v>7671313.3977792822</v>
      </c>
      <c r="I155" s="44">
        <f>H155-G155</f>
        <v>-533057.60222071409</v>
      </c>
      <c r="J155" s="124">
        <f>IF(I155=0,"",I155/H155)</f>
        <v>-6.9487136632304117E-2</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8">SUM(C158:C158)</f>
        <v>-895310.18000000017</v>
      </c>
      <c r="D157" s="577">
        <f t="shared" si="38"/>
        <v>106660.31115601346</v>
      </c>
      <c r="E157" s="578">
        <f t="shared" si="38"/>
        <v>106660.31115601346</v>
      </c>
      <c r="F157" s="578">
        <f t="shared" si="38"/>
        <v>1322518.8000000005</v>
      </c>
      <c r="G157" s="578">
        <f t="shared" si="38"/>
        <v>13775867.149999997</v>
      </c>
      <c r="H157" s="578">
        <f t="shared" si="38"/>
        <v>97771.95189301233</v>
      </c>
      <c r="I157" s="578">
        <f>H157-G157</f>
        <v>-13678095.198106984</v>
      </c>
      <c r="J157" s="324">
        <f>IF(I157=0,"",I157/H157)</f>
        <v>-139.89794550766808</v>
      </c>
      <c r="K157" s="580">
        <f>SUM(K158)</f>
        <v>106660.31115601346</v>
      </c>
    </row>
    <row r="158" spans="1:12" ht="12.75" customHeight="1" x14ac:dyDescent="0.25">
      <c r="A158" s="518" t="s">
        <v>1324</v>
      </c>
      <c r="B158" s="169"/>
      <c r="C158" s="748">
        <v>-895310.18000000017</v>
      </c>
      <c r="D158" s="753">
        <v>106660.31115601346</v>
      </c>
      <c r="E158" s="733">
        <v>106660.31115601346</v>
      </c>
      <c r="F158" s="733">
        <v>1322518.8000000005</v>
      </c>
      <c r="G158" s="733">
        <v>13775867.149999997</v>
      </c>
      <c r="H158" s="733">
        <f>E158/12*11</f>
        <v>97771.95189301233</v>
      </c>
      <c r="I158" s="44">
        <f>H158-G158</f>
        <v>-13678095.198106984</v>
      </c>
      <c r="J158" s="124">
        <f>IF(I158=0,"",I158/H158)</f>
        <v>-139.89794550766808</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9">SUM(C161:C161)</f>
        <v>0</v>
      </c>
      <c r="D160" s="577">
        <f t="shared" si="39"/>
        <v>0</v>
      </c>
      <c r="E160" s="578">
        <f t="shared" si="39"/>
        <v>0</v>
      </c>
      <c r="F160" s="578">
        <f t="shared" si="39"/>
        <v>0</v>
      </c>
      <c r="G160" s="578">
        <f t="shared" si="39"/>
        <v>0</v>
      </c>
      <c r="H160" s="578">
        <f t="shared" si="39"/>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0">SUM(C164:C164)</f>
        <v>0</v>
      </c>
      <c r="D163" s="577">
        <f t="shared" si="40"/>
        <v>0</v>
      </c>
      <c r="E163" s="578">
        <f t="shared" si="40"/>
        <v>0</v>
      </c>
      <c r="F163" s="578">
        <f t="shared" si="40"/>
        <v>0</v>
      </c>
      <c r="G163" s="578">
        <f t="shared" si="40"/>
        <v>0</v>
      </c>
      <c r="H163" s="578">
        <f t="shared" si="40"/>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41">C7+C75+C103+C110+C117+C135+C138+C148+C151+C154+C157+C160+C163</f>
        <v>302561252.49000001</v>
      </c>
      <c r="D166" s="271">
        <f t="shared" si="41"/>
        <v>488991448.27473986</v>
      </c>
      <c r="E166" s="55">
        <f t="shared" si="41"/>
        <v>482441448.55050027</v>
      </c>
      <c r="F166" s="55">
        <f t="shared" si="41"/>
        <v>36077072.469999999</v>
      </c>
      <c r="G166" s="55">
        <f t="shared" si="41"/>
        <v>388217050.80000001</v>
      </c>
      <c r="H166" s="55">
        <f t="shared" si="41"/>
        <v>442237994.50462532</v>
      </c>
      <c r="I166" s="55">
        <f t="shared" si="1"/>
        <v>54020943.704625309</v>
      </c>
      <c r="J166" s="290">
        <f t="shared" si="2"/>
        <v>0.12215355617541881</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tabSelected="1" workbookViewId="0">
      <pane xSplit="2" ySplit="4" topLeftCell="C137" activePane="bottomRight" state="frozen"/>
      <selection pane="topRight"/>
      <selection pane="bottomLeft"/>
      <selection pane="bottomRight" activeCell="C108" sqref="C10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"&amp;S71Se&amp; " - "&amp;Head57</f>
        <v>KZN225 Msunduzi - Supporting Table SC13e Monthly Budget Statement - capital expenditure on upgrading of existing assets by asset class - M11 May</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102280127.31575039</v>
      </c>
      <c r="F7" s="102">
        <f t="shared" si="0"/>
        <v>7309646.1300000008</v>
      </c>
      <c r="G7" s="102">
        <f t="shared" si="0"/>
        <v>59111820.089999996</v>
      </c>
      <c r="H7" s="102">
        <f t="shared" si="0"/>
        <v>93756783.372771174</v>
      </c>
      <c r="I7" s="101">
        <f t="shared" ref="I7:I133" si="1">H7-G7</f>
        <v>34644963.282771178</v>
      </c>
      <c r="J7" s="579">
        <f t="shared" ref="J7:J136" si="2">IF(I7=0,"",I7/H7)</f>
        <v>0.36951953806931437</v>
      </c>
      <c r="K7" s="603">
        <f>K8+K13+K17+K27+K38+K45+K53+K63+K69</f>
        <v>102280127.31575039</v>
      </c>
    </row>
    <row r="8" spans="1:11" ht="12.75" customHeight="1" x14ac:dyDescent="0.25">
      <c r="A8" s="518" t="s">
        <v>1216</v>
      </c>
      <c r="B8" s="169"/>
      <c r="C8" s="677">
        <f t="shared" ref="C8:H8" si="3">SUM(C9:C12)</f>
        <v>0</v>
      </c>
      <c r="D8" s="609">
        <f t="shared" si="3"/>
        <v>31255314.729466628</v>
      </c>
      <c r="E8" s="608">
        <f t="shared" si="3"/>
        <v>70819012</v>
      </c>
      <c r="F8" s="608">
        <f t="shared" si="3"/>
        <v>4749364.9700000007</v>
      </c>
      <c r="G8" s="608">
        <f t="shared" si="3"/>
        <v>40843140.390000001</v>
      </c>
      <c r="H8" s="608">
        <f t="shared" si="3"/>
        <v>64917427.666666664</v>
      </c>
      <c r="I8" s="258">
        <f t="shared" si="1"/>
        <v>24074287.276666664</v>
      </c>
      <c r="J8" s="575">
        <f t="shared" si="2"/>
        <v>0.37084475066204997</v>
      </c>
      <c r="K8" s="610">
        <f>SUM(K9:K12)</f>
        <v>70819012</v>
      </c>
    </row>
    <row r="9" spans="1:11" ht="12.75" customHeight="1" x14ac:dyDescent="0.25">
      <c r="A9" s="574" t="s">
        <v>168</v>
      </c>
      <c r="B9" s="169"/>
      <c r="C9" s="748"/>
      <c r="D9" s="745">
        <v>31255314.729466628</v>
      </c>
      <c r="E9" s="733">
        <v>70819012</v>
      </c>
      <c r="F9" s="733">
        <v>3346771.6500000004</v>
      </c>
      <c r="G9" s="733">
        <v>37696263.090000004</v>
      </c>
      <c r="H9" s="733">
        <f>E9/12*11</f>
        <v>64917427.666666664</v>
      </c>
      <c r="I9" s="258">
        <f t="shared" si="1"/>
        <v>27221164.576666661</v>
      </c>
      <c r="J9" s="575">
        <f t="shared" si="2"/>
        <v>0.4193198275883625</v>
      </c>
      <c r="K9" s="735">
        <f>E9</f>
        <v>70819012</v>
      </c>
    </row>
    <row r="10" spans="1:11" ht="12.75" customHeight="1" x14ac:dyDescent="0.25">
      <c r="A10" s="574" t="s">
        <v>1217</v>
      </c>
      <c r="B10" s="169"/>
      <c r="C10" s="748"/>
      <c r="D10" s="745"/>
      <c r="E10" s="733"/>
      <c r="F10" s="733">
        <v>1402593.32</v>
      </c>
      <c r="G10" s="733">
        <v>3146877.3000000007</v>
      </c>
      <c r="H10" s="733"/>
      <c r="I10" s="258">
        <f t="shared" si="1"/>
        <v>-3146877.3000000007</v>
      </c>
      <c r="J10" s="575" t="e">
        <f t="shared" si="2"/>
        <v>#DIV/0!</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0</v>
      </c>
      <c r="G17" s="408">
        <f t="shared" si="5"/>
        <v>4584201.3</v>
      </c>
      <c r="H17" s="408">
        <f t="shared" si="5"/>
        <v>14836689.862099303</v>
      </c>
      <c r="I17" s="258">
        <f t="shared" si="1"/>
        <v>10252488.562099304</v>
      </c>
      <c r="J17" s="575">
        <f t="shared" si="2"/>
        <v>0.69102263762279914</v>
      </c>
      <c r="K17" s="642">
        <f>SUM(K18:K26)</f>
        <v>16185479.849562876</v>
      </c>
    </row>
    <row r="18" spans="1:11" ht="12.75" customHeight="1" x14ac:dyDescent="0.25">
      <c r="A18" s="574" t="s">
        <v>1225</v>
      </c>
      <c r="B18" s="169"/>
      <c r="C18" s="748"/>
      <c r="D18" s="745">
        <v>16185479.849562876</v>
      </c>
      <c r="E18" s="733">
        <v>16185479.849562876</v>
      </c>
      <c r="F18" s="733"/>
      <c r="G18" s="733"/>
      <c r="H18" s="733">
        <f>E18/12*11</f>
        <v>14836689.862099303</v>
      </c>
      <c r="I18" s="258">
        <f t="shared" si="1"/>
        <v>14836689.862099303</v>
      </c>
      <c r="J18" s="575">
        <f t="shared" si="2"/>
        <v>1</v>
      </c>
      <c r="K18" s="735">
        <f>E18</f>
        <v>16185479.849562876</v>
      </c>
    </row>
    <row r="19" spans="1:11" ht="12.75" customHeight="1" x14ac:dyDescent="0.25">
      <c r="A19" s="574" t="s">
        <v>1226</v>
      </c>
      <c r="B19" s="169"/>
      <c r="C19" s="748"/>
      <c r="D19" s="745"/>
      <c r="E19" s="733"/>
      <c r="F19" s="733"/>
      <c r="G19" s="733">
        <v>4584201.3</v>
      </c>
      <c r="H19" s="733"/>
      <c r="I19" s="258">
        <f t="shared" si="1"/>
        <v>-4584201.3</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0</v>
      </c>
      <c r="G27" s="408">
        <f t="shared" si="6"/>
        <v>0</v>
      </c>
      <c r="H27" s="408">
        <f t="shared" si="6"/>
        <v>5007942.9273385452</v>
      </c>
      <c r="I27" s="258">
        <f t="shared" si="1"/>
        <v>5007942.9273385452</v>
      </c>
      <c r="J27" s="575">
        <f t="shared" si="2"/>
        <v>1</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c r="G30" s="733"/>
      <c r="H30" s="733">
        <f>E30/12*11</f>
        <v>5007942.9273385452</v>
      </c>
      <c r="I30" s="258">
        <f t="shared" si="1"/>
        <v>5007942.9273385452</v>
      </c>
      <c r="J30" s="575">
        <f t="shared" si="2"/>
        <v>1</v>
      </c>
      <c r="K30" s="735">
        <f>E30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2158776.9900000002</v>
      </c>
      <c r="G38" s="408">
        <f t="shared" si="7"/>
        <v>11750966.58</v>
      </c>
      <c r="H38" s="408">
        <f t="shared" si="7"/>
        <v>0</v>
      </c>
      <c r="I38" s="258">
        <f t="shared" si="1"/>
        <v>-11750966.58</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2158776.9900000002</v>
      </c>
      <c r="G40" s="733">
        <v>11750966.58</v>
      </c>
      <c r="H40" s="733"/>
      <c r="I40" s="258">
        <f t="shared" si="1"/>
        <v>-11750966.58</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9812425</v>
      </c>
      <c r="F45" s="408">
        <f t="shared" si="8"/>
        <v>401504.17</v>
      </c>
      <c r="G45" s="408">
        <f t="shared" si="8"/>
        <v>1933511.8199999998</v>
      </c>
      <c r="H45" s="408">
        <f t="shared" si="8"/>
        <v>8994722.9166666679</v>
      </c>
      <c r="I45" s="258">
        <f t="shared" si="1"/>
        <v>7061211.0966666676</v>
      </c>
      <c r="J45" s="575">
        <f t="shared" si="2"/>
        <v>0.78503931272665195</v>
      </c>
      <c r="K45" s="642">
        <f>SUM(K46:K52)</f>
        <v>9812425</v>
      </c>
    </row>
    <row r="46" spans="1:11" ht="12.75" customHeight="1" x14ac:dyDescent="0.25">
      <c r="A46" s="574" t="s">
        <v>1249</v>
      </c>
      <c r="B46" s="169"/>
      <c r="C46" s="748"/>
      <c r="D46" s="745">
        <v>4127956.9724179767</v>
      </c>
      <c r="E46" s="733">
        <v>9812425</v>
      </c>
      <c r="F46" s="733">
        <v>401504.17</v>
      </c>
      <c r="G46" s="733">
        <v>1933511.8199999998</v>
      </c>
      <c r="H46" s="733">
        <f>E46/12*11</f>
        <v>8994722.9166666679</v>
      </c>
      <c r="I46" s="258">
        <f t="shared" si="1"/>
        <v>7061211.0966666676</v>
      </c>
      <c r="J46" s="575">
        <f t="shared" si="2"/>
        <v>0.78503931272665195</v>
      </c>
      <c r="K46" s="735">
        <f>E46</f>
        <v>9812425</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8390471</v>
      </c>
      <c r="F75" s="578">
        <f t="shared" si="12"/>
        <v>0</v>
      </c>
      <c r="G75" s="578">
        <f t="shared" si="12"/>
        <v>2181395</v>
      </c>
      <c r="H75" s="578">
        <f t="shared" si="12"/>
        <v>7691265.083333333</v>
      </c>
      <c r="I75" s="578">
        <f t="shared" si="1"/>
        <v>5509870.083333333</v>
      </c>
      <c r="J75" s="579">
        <f t="shared" si="2"/>
        <v>0.71638020840979766</v>
      </c>
      <c r="K75" s="580">
        <f>+K76+K99</f>
        <v>8390471</v>
      </c>
    </row>
    <row r="76" spans="1:11" ht="12.75" customHeight="1" x14ac:dyDescent="0.25">
      <c r="A76" s="518" t="s">
        <v>1268</v>
      </c>
      <c r="B76" s="169"/>
      <c r="C76" s="648">
        <f t="shared" ref="C76:H76" si="13">SUM(C77:C98)</f>
        <v>0</v>
      </c>
      <c r="D76" s="649">
        <f t="shared" si="13"/>
        <v>0</v>
      </c>
      <c r="E76" s="408">
        <f t="shared" si="13"/>
        <v>5774410</v>
      </c>
      <c r="F76" s="408">
        <f t="shared" si="13"/>
        <v>0</v>
      </c>
      <c r="G76" s="408">
        <f t="shared" si="13"/>
        <v>2181395</v>
      </c>
      <c r="H76" s="408">
        <f t="shared" si="13"/>
        <v>5293209.166666666</v>
      </c>
      <c r="I76" s="258">
        <f t="shared" si="1"/>
        <v>3111814.166666666</v>
      </c>
      <c r="J76" s="575">
        <f t="shared" si="2"/>
        <v>0.58788800304037359</v>
      </c>
      <c r="K76" s="642">
        <f>SUM(K77:K98)</f>
        <v>5774410</v>
      </c>
    </row>
    <row r="77" spans="1:11" ht="12.75" customHeight="1" x14ac:dyDescent="0.25">
      <c r="A77" s="574" t="s">
        <v>1269</v>
      </c>
      <c r="B77" s="169"/>
      <c r="C77" s="748"/>
      <c r="D77" s="753"/>
      <c r="E77" s="733">
        <v>5774410</v>
      </c>
      <c r="F77" s="733"/>
      <c r="G77" s="733"/>
      <c r="H77" s="733">
        <f>E77/12*11</f>
        <v>5293209.166666666</v>
      </c>
      <c r="I77" s="44">
        <f t="shared" si="1"/>
        <v>5293209.166666666</v>
      </c>
      <c r="J77" s="124">
        <f t="shared" si="2"/>
        <v>1</v>
      </c>
      <c r="K77" s="735">
        <f>E77</f>
        <v>5774410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v>2181395</v>
      </c>
      <c r="H86" s="733"/>
      <c r="I86" s="44">
        <f t="shared" si="1"/>
        <v>-2181395</v>
      </c>
      <c r="J86" s="124" t="e">
        <f t="shared" si="2"/>
        <v>#DIV/0!</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2616061</v>
      </c>
      <c r="F99" s="408">
        <f t="shared" si="14"/>
        <v>0</v>
      </c>
      <c r="G99" s="408">
        <f t="shared" si="14"/>
        <v>0</v>
      </c>
      <c r="H99" s="408">
        <f t="shared" si="14"/>
        <v>2398055.916666667</v>
      </c>
      <c r="I99" s="258">
        <f t="shared" si="1"/>
        <v>2398055.916666667</v>
      </c>
      <c r="J99" s="575">
        <f t="shared" si="2"/>
        <v>1</v>
      </c>
      <c r="K99" s="642">
        <f>SUM(K100:K102)</f>
        <v>2616061</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v>2616061</v>
      </c>
      <c r="F101" s="733"/>
      <c r="G101" s="733"/>
      <c r="H101" s="733">
        <f>E101/12*11</f>
        <v>2398055.916666667</v>
      </c>
      <c r="I101" s="44">
        <f>H101-G101</f>
        <v>2398055.916666667</v>
      </c>
      <c r="J101" s="124">
        <f>IF(I101=0,"",I101/H101)</f>
        <v>1</v>
      </c>
      <c r="K101" s="735">
        <f>E101</f>
        <v>2616061</v>
      </c>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201733761.11000001</v>
      </c>
      <c r="D103" s="264">
        <f t="shared" si="15"/>
        <v>4066785.1172906831</v>
      </c>
      <c r="E103" s="99">
        <f t="shared" si="15"/>
        <v>8300000</v>
      </c>
      <c r="F103" s="99">
        <f t="shared" si="15"/>
        <v>0</v>
      </c>
      <c r="G103" s="99">
        <f t="shared" si="15"/>
        <v>0</v>
      </c>
      <c r="H103" s="99">
        <f t="shared" si="15"/>
        <v>7608333.333333333</v>
      </c>
      <c r="I103" s="99">
        <f t="shared" si="1"/>
        <v>7608333.333333333</v>
      </c>
      <c r="J103" s="324">
        <f t="shared" si="2"/>
        <v>1</v>
      </c>
      <c r="K103" s="195">
        <f>SUM(K104:K108)</f>
        <v>8300000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v>201733761.11000001</v>
      </c>
      <c r="D108" s="753">
        <v>4066785.1172906831</v>
      </c>
      <c r="E108" s="733">
        <v>8300000</v>
      </c>
      <c r="F108" s="733"/>
      <c r="G108" s="733"/>
      <c r="H108" s="733">
        <f>E108/12*11</f>
        <v>7608333.333333333</v>
      </c>
      <c r="I108" s="44">
        <f t="shared" si="1"/>
        <v>7608333.333333333</v>
      </c>
      <c r="J108" s="124">
        <f t="shared" si="2"/>
        <v>1</v>
      </c>
      <c r="K108" s="735">
        <f>E108</f>
        <v>8300000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244264000</v>
      </c>
      <c r="F117" s="578">
        <f t="shared" si="19"/>
        <v>0</v>
      </c>
      <c r="G117" s="578">
        <f t="shared" si="19"/>
        <v>0</v>
      </c>
      <c r="H117" s="578">
        <f t="shared" si="19"/>
        <v>223908666.66666666</v>
      </c>
      <c r="I117" s="578">
        <f t="shared" si="1"/>
        <v>223908666.66666666</v>
      </c>
      <c r="J117" s="579">
        <f t="shared" si="2"/>
        <v>1</v>
      </c>
      <c r="K117" s="580">
        <f>+K118+K130</f>
        <v>244264000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244264000</v>
      </c>
      <c r="F130" s="408">
        <f t="shared" si="21"/>
        <v>0</v>
      </c>
      <c r="G130" s="408">
        <f t="shared" si="21"/>
        <v>0</v>
      </c>
      <c r="H130" s="408">
        <f t="shared" si="21"/>
        <v>223908666.66666666</v>
      </c>
      <c r="I130" s="258">
        <f t="shared" si="1"/>
        <v>223908666.66666666</v>
      </c>
      <c r="J130" s="575">
        <f t="shared" si="2"/>
        <v>1</v>
      </c>
      <c r="K130" s="642">
        <f>SUM(K131:K133)</f>
        <v>244264000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244264000</v>
      </c>
      <c r="F132" s="733"/>
      <c r="G132" s="733"/>
      <c r="H132" s="733">
        <f>E132/12*11</f>
        <v>223908666.66666666</v>
      </c>
      <c r="I132" s="44">
        <f t="shared" si="1"/>
        <v>223908666.66666666</v>
      </c>
      <c r="J132" s="124">
        <f t="shared" si="2"/>
        <v>1</v>
      </c>
      <c r="K132" s="735">
        <f>E132</f>
        <v>244264000</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300000</v>
      </c>
      <c r="F138" s="942">
        <f t="shared" si="24"/>
        <v>0</v>
      </c>
      <c r="G138" s="942">
        <f t="shared" si="24"/>
        <v>0</v>
      </c>
      <c r="H138" s="942">
        <f t="shared" si="24"/>
        <v>275000</v>
      </c>
      <c r="I138" s="942">
        <f t="shared" ref="I138:I146" si="25">H138-G138</f>
        <v>275000</v>
      </c>
      <c r="J138" s="324">
        <f t="shared" si="23"/>
        <v>1</v>
      </c>
      <c r="K138" s="943">
        <f>SUM(K139:K140)</f>
        <v>300000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300000</v>
      </c>
      <c r="F140" s="408">
        <f t="shared" si="26"/>
        <v>0</v>
      </c>
      <c r="G140" s="408">
        <f t="shared" si="26"/>
        <v>0</v>
      </c>
      <c r="H140" s="408">
        <f t="shared" si="26"/>
        <v>275000</v>
      </c>
      <c r="I140" s="258">
        <f t="shared" si="25"/>
        <v>275000</v>
      </c>
      <c r="J140" s="575">
        <f t="shared" si="23"/>
        <v>1</v>
      </c>
      <c r="K140" s="642">
        <f>SUM(K141:K146)</f>
        <v>300000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v>300000</v>
      </c>
      <c r="F144" s="733"/>
      <c r="G144" s="733"/>
      <c r="H144" s="733">
        <f>E144/12*11</f>
        <v>275000</v>
      </c>
      <c r="I144" s="44">
        <f t="shared" si="25"/>
        <v>275000</v>
      </c>
      <c r="J144" s="124">
        <f t="shared" si="23"/>
        <v>1</v>
      </c>
      <c r="K144" s="735">
        <f>E144</f>
        <v>300000</v>
      </c>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200000</v>
      </c>
      <c r="F148" s="578">
        <f t="shared" si="27"/>
        <v>0</v>
      </c>
      <c r="G148" s="578">
        <f t="shared" si="27"/>
        <v>0</v>
      </c>
      <c r="H148" s="578">
        <f t="shared" si="27"/>
        <v>183333.33333333334</v>
      </c>
      <c r="I148" s="578">
        <f>H148-G148</f>
        <v>183333.33333333334</v>
      </c>
      <c r="J148" s="324">
        <f>IF(I148=0,"",I148/H148)</f>
        <v>1</v>
      </c>
      <c r="K148" s="580">
        <f>SUM(K149)</f>
        <v>200000</v>
      </c>
    </row>
    <row r="149" spans="1:12" ht="12.75" customHeight="1" x14ac:dyDescent="0.25">
      <c r="A149" s="518" t="s">
        <v>1321</v>
      </c>
      <c r="B149" s="169"/>
      <c r="C149" s="748"/>
      <c r="D149" s="753">
        <v>172522.43577434224</v>
      </c>
      <c r="E149" s="733">
        <v>200000</v>
      </c>
      <c r="F149" s="733"/>
      <c r="G149" s="733"/>
      <c r="H149" s="733">
        <f>E149/12*11</f>
        <v>183333.33333333334</v>
      </c>
      <c r="I149" s="44">
        <f>H149-G149</f>
        <v>183333.33333333334</v>
      </c>
      <c r="J149" s="124">
        <f>IF(I149=0,"",I149/H149)</f>
        <v>1</v>
      </c>
      <c r="K149" s="735">
        <f>E149</f>
        <v>200000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11500194.66492188</v>
      </c>
      <c r="F151" s="578">
        <f t="shared" si="28"/>
        <v>0</v>
      </c>
      <c r="G151" s="578">
        <f t="shared" si="28"/>
        <v>0</v>
      </c>
      <c r="H151" s="578">
        <f t="shared" si="28"/>
        <v>10541845.109511722</v>
      </c>
      <c r="I151" s="578">
        <f>H151-G151</f>
        <v>10541845.109511722</v>
      </c>
      <c r="J151" s="324">
        <f>IF(I151=0,"",I151/H151)</f>
        <v>1</v>
      </c>
      <c r="K151" s="580">
        <f>SUM(K152)</f>
        <v>11500194.66492188</v>
      </c>
    </row>
    <row r="152" spans="1:12" ht="12.75" customHeight="1" x14ac:dyDescent="0.25">
      <c r="A152" s="518" t="s">
        <v>1322</v>
      </c>
      <c r="B152" s="169"/>
      <c r="C152" s="748"/>
      <c r="D152" s="753">
        <v>28753.73929572371</v>
      </c>
      <c r="E152" s="733">
        <v>11500194.66492188</v>
      </c>
      <c r="F152" s="733"/>
      <c r="G152" s="733"/>
      <c r="H152" s="733">
        <f>E152/12*11</f>
        <v>10541845.109511722</v>
      </c>
      <c r="I152" s="44">
        <f>H152-G152</f>
        <v>10541845.109511722</v>
      </c>
      <c r="J152" s="124">
        <f>IF(I152=0,"",I152/H152)</f>
        <v>1</v>
      </c>
      <c r="K152" s="735">
        <f>E152</f>
        <v>11500194.66492188</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15562.55</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v>15562.55</v>
      </c>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-6604571.5</v>
      </c>
      <c r="D157" s="577">
        <f t="shared" si="30"/>
        <v>48149976.690004274</v>
      </c>
      <c r="E157" s="578">
        <f t="shared" si="30"/>
        <v>88758324</v>
      </c>
      <c r="F157" s="578">
        <f t="shared" si="30"/>
        <v>0</v>
      </c>
      <c r="G157" s="578">
        <f t="shared" si="30"/>
        <v>0</v>
      </c>
      <c r="H157" s="578">
        <f t="shared" si="30"/>
        <v>81361797</v>
      </c>
      <c r="I157" s="578">
        <f>H157-G157</f>
        <v>81361797</v>
      </c>
      <c r="J157" s="324">
        <f>IF(I157=0,"",I157/H157)</f>
        <v>1</v>
      </c>
      <c r="K157" s="580">
        <f>SUM(K158)</f>
        <v>88758324</v>
      </c>
    </row>
    <row r="158" spans="1:12" ht="12.75" customHeight="1" x14ac:dyDescent="0.25">
      <c r="A158" s="518" t="s">
        <v>1324</v>
      </c>
      <c r="B158" s="169"/>
      <c r="C158" s="748">
        <v>-6604571.5</v>
      </c>
      <c r="D158" s="753">
        <v>48149976.690004274</v>
      </c>
      <c r="E158" s="733">
        <v>88758324</v>
      </c>
      <c r="F158" s="733"/>
      <c r="G158" s="733"/>
      <c r="H158" s="733">
        <f>E158/12*11</f>
        <v>81361797</v>
      </c>
      <c r="I158" s="44">
        <f>H158-G158</f>
        <v>81361797</v>
      </c>
      <c r="J158" s="124">
        <f>IF(I158=0,"",I158/H158)</f>
        <v>1</v>
      </c>
      <c r="K158" s="735">
        <f>E158</f>
        <v>88758324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195144752.16000003</v>
      </c>
      <c r="D166" s="271">
        <f t="shared" si="33"/>
        <v>109450000</v>
      </c>
      <c r="E166" s="55">
        <f t="shared" si="33"/>
        <v>463993116.98067224</v>
      </c>
      <c r="F166" s="55">
        <f t="shared" si="33"/>
        <v>7309646.1300000008</v>
      </c>
      <c r="G166" s="55">
        <f t="shared" si="33"/>
        <v>61293215.089999996</v>
      </c>
      <c r="H166" s="55">
        <f t="shared" si="33"/>
        <v>425327023.89894956</v>
      </c>
      <c r="I166" s="55">
        <f>H166-G166</f>
        <v>364033808.80894959</v>
      </c>
      <c r="J166" s="290">
        <f>IF(I166=0,"",I166/H166)</f>
        <v>0.85589155721137011</v>
      </c>
      <c r="K166" s="235">
        <f>K7+K75+K103+K110+K117+K135+K138+K148+K151+K154+K157+K160+K163</f>
        <v>463993116.98067224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-59610022.050000012</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opLeftCell="A13" workbookViewId="0">
      <selection activeCell="F32" sqref="F32"/>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936648.53999999957</v>
      </c>
      <c r="F3" s="43"/>
      <c r="G3" s="43"/>
      <c r="H3" s="43"/>
      <c r="I3" s="43"/>
      <c r="J3" s="43"/>
      <c r="K3" s="43"/>
    </row>
    <row r="4" spans="1:11" x14ac:dyDescent="0.25">
      <c r="A4" s="42" t="str">
        <f>LEFT('SC12'!A7,3)</f>
        <v>Aug</v>
      </c>
      <c r="B4" s="43">
        <f>'SC12'!B7</f>
        <v>66093583.333333336</v>
      </c>
      <c r="C4" s="43">
        <f>'SC12'!C7</f>
        <v>48407631.75</v>
      </c>
      <c r="D4" s="43">
        <f>'SC12'!D7</f>
        <v>0</v>
      </c>
      <c r="E4" s="45">
        <f>'SC12'!E7</f>
        <v>28293360.050000001</v>
      </c>
      <c r="F4" s="43"/>
      <c r="G4" s="43"/>
      <c r="H4" s="43"/>
      <c r="I4" s="43"/>
      <c r="J4" s="43"/>
      <c r="K4" s="43"/>
    </row>
    <row r="5" spans="1:11" x14ac:dyDescent="0.25">
      <c r="A5" s="42" t="str">
        <f>LEFT('SC12'!A8,3)</f>
        <v>Sep</v>
      </c>
      <c r="B5" s="43">
        <f>'SC12'!B8</f>
        <v>66093583.333333336</v>
      </c>
      <c r="C5" s="43">
        <f>'SC12'!C8</f>
        <v>48407631.75</v>
      </c>
      <c r="D5" s="43">
        <f>'SC12'!D8</f>
        <v>0</v>
      </c>
      <c r="E5" s="45">
        <f>'SC12'!E8</f>
        <v>51276404.180000007</v>
      </c>
      <c r="F5" s="43"/>
      <c r="G5" s="43"/>
      <c r="H5" s="43"/>
      <c r="I5" s="43"/>
      <c r="J5" s="43"/>
      <c r="K5" s="43"/>
    </row>
    <row r="6" spans="1:11" x14ac:dyDescent="0.25">
      <c r="A6" s="42" t="str">
        <f>LEFT('SC12'!A9,3)</f>
        <v>Oct</v>
      </c>
      <c r="B6" s="43">
        <f>'SC12'!B9</f>
        <v>66093583.333333336</v>
      </c>
      <c r="C6" s="43">
        <f>'SC12'!C9</f>
        <v>48407631.75</v>
      </c>
      <c r="D6" s="43">
        <f>'SC12'!D9</f>
        <v>0</v>
      </c>
      <c r="E6" s="45">
        <f>'SC12'!E9</f>
        <v>34751661.439999998</v>
      </c>
      <c r="F6" s="43"/>
      <c r="G6" s="43"/>
      <c r="H6" s="43"/>
      <c r="I6" s="43"/>
      <c r="J6" s="43"/>
      <c r="K6" s="43"/>
    </row>
    <row r="7" spans="1:11" x14ac:dyDescent="0.25">
      <c r="A7" s="42" t="str">
        <f>LEFT('SC12'!A10,3)</f>
        <v>Nov</v>
      </c>
      <c r="B7" s="43">
        <f>'SC12'!B10</f>
        <v>66093583.333333336</v>
      </c>
      <c r="C7" s="43">
        <f>'SC12'!C10</f>
        <v>48407631.75</v>
      </c>
      <c r="D7" s="43">
        <f>'SC12'!D10</f>
        <v>0</v>
      </c>
      <c r="E7" s="45">
        <f>'SC12'!E10</f>
        <v>64917006.57</v>
      </c>
      <c r="F7" s="43"/>
      <c r="G7" s="43"/>
      <c r="H7" s="43"/>
      <c r="I7" s="43"/>
      <c r="J7" s="43"/>
      <c r="K7" s="43"/>
    </row>
    <row r="8" spans="1:11" x14ac:dyDescent="0.25">
      <c r="A8" s="42" t="str">
        <f>LEFT('SC12'!A11,3)</f>
        <v>Dec</v>
      </c>
      <c r="B8" s="43">
        <f>'SC12'!B11</f>
        <v>66093583.333333336</v>
      </c>
      <c r="C8" s="43">
        <f>'SC12'!C11</f>
        <v>48407631.75</v>
      </c>
      <c r="D8" s="43">
        <f>'SC12'!D11</f>
        <v>0</v>
      </c>
      <c r="E8" s="45">
        <f>'SC12'!E11</f>
        <v>66421825.969999984</v>
      </c>
      <c r="F8" s="43"/>
      <c r="G8" s="43"/>
      <c r="H8" s="43"/>
      <c r="I8" s="43"/>
      <c r="J8" s="43"/>
      <c r="K8" s="43"/>
    </row>
    <row r="9" spans="1:11" x14ac:dyDescent="0.25">
      <c r="A9" s="42" t="str">
        <f>LEFT('SC12'!A12,3)</f>
        <v>Jan</v>
      </c>
      <c r="B9" s="43">
        <f>'SC12'!B12</f>
        <v>66093583.333333336</v>
      </c>
      <c r="C9" s="43">
        <f>'SC12'!C12</f>
        <v>48407631.75</v>
      </c>
      <c r="D9" s="43">
        <f>'SC12'!D12</f>
        <v>0</v>
      </c>
      <c r="E9" s="45">
        <f>'SC12'!E12</f>
        <v>4048843.38</v>
      </c>
      <c r="F9" s="43"/>
      <c r="G9" s="43"/>
      <c r="H9" s="43"/>
      <c r="I9" s="43"/>
      <c r="J9" s="43"/>
      <c r="K9" s="43"/>
    </row>
    <row r="10" spans="1:11" x14ac:dyDescent="0.25">
      <c r="A10" s="42" t="str">
        <f>LEFT('SC12'!A13,3)</f>
        <v>Feb</v>
      </c>
      <c r="B10" s="43">
        <f>'SC12'!B13</f>
        <v>66093583.333333336</v>
      </c>
      <c r="C10" s="43">
        <f>'SC12'!C13</f>
        <v>48407631.75</v>
      </c>
      <c r="D10" s="43">
        <f>'SC12'!D13</f>
        <v>0</v>
      </c>
      <c r="E10" s="45">
        <f>'SC12'!E13</f>
        <v>35188377.060000002</v>
      </c>
      <c r="F10" s="43"/>
      <c r="G10" s="43"/>
      <c r="H10" s="43"/>
      <c r="I10" s="43"/>
      <c r="J10" s="43"/>
      <c r="K10" s="43"/>
    </row>
    <row r="11" spans="1:11" x14ac:dyDescent="0.25">
      <c r="A11" s="42" t="str">
        <f>LEFT('SC12'!A14,3)</f>
        <v>Mar</v>
      </c>
      <c r="B11" s="43">
        <f>'SC12'!B14</f>
        <v>66093583.333333336</v>
      </c>
      <c r="C11" s="43">
        <f>'SC12'!C14</f>
        <v>48407631.75</v>
      </c>
      <c r="D11" s="43">
        <f>'SC12'!D14</f>
        <v>0</v>
      </c>
      <c r="E11" s="45">
        <f>'SC12'!E14</f>
        <v>30125543.949999999</v>
      </c>
      <c r="F11" s="43"/>
      <c r="G11" s="43"/>
      <c r="H11" s="43"/>
      <c r="I11" s="43"/>
      <c r="J11" s="43"/>
      <c r="K11" s="43"/>
    </row>
    <row r="12" spans="1:11" x14ac:dyDescent="0.25">
      <c r="A12" s="42" t="str">
        <f>LEFT('SC12'!A15,3)</f>
        <v>Apr</v>
      </c>
      <c r="B12" s="43">
        <f>'SC12'!B15</f>
        <v>66093583.333333336</v>
      </c>
      <c r="C12" s="43">
        <f>'SC12'!C15</f>
        <v>48407631.75</v>
      </c>
      <c r="D12" s="43">
        <f>'SC12'!D15</f>
        <v>0</v>
      </c>
      <c r="E12" s="45">
        <f>'SC12'!E15</f>
        <v>69137296.340000004</v>
      </c>
      <c r="F12" s="43"/>
      <c r="G12" s="43"/>
      <c r="H12" s="43"/>
      <c r="I12" s="43"/>
      <c r="J12" s="43"/>
      <c r="K12" s="43"/>
    </row>
    <row r="13" spans="1:11" x14ac:dyDescent="0.25">
      <c r="A13" s="42" t="str">
        <f>LEFT('SC12'!A16,3)</f>
        <v>May</v>
      </c>
      <c r="B13" s="43">
        <f>'SC12'!B16</f>
        <v>66093583.333333336</v>
      </c>
      <c r="C13" s="43">
        <f>'SC12'!C16</f>
        <v>48407631.75</v>
      </c>
      <c r="D13" s="43">
        <f>'SC12'!D16</f>
        <v>0</v>
      </c>
      <c r="E13" s="45">
        <f>'SC12'!E16</f>
        <v>35226258.649999999</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936648.53999999957</v>
      </c>
      <c r="C28" s="362">
        <f>'SC12'!G6</f>
        <v>48407631.75</v>
      </c>
      <c r="D28" s="43"/>
      <c r="E28" s="43"/>
      <c r="F28" s="43"/>
      <c r="G28" s="43"/>
      <c r="H28" s="43"/>
      <c r="I28" s="43"/>
    </row>
    <row r="29" spans="1:10" x14ac:dyDescent="0.25">
      <c r="A29" s="42" t="str">
        <f>LEFT('SC12'!A7,3)</f>
        <v>Aug</v>
      </c>
      <c r="B29" s="43">
        <f>'SC12'!F7</f>
        <v>29230008.59</v>
      </c>
      <c r="C29" s="45">
        <f>'SC12'!G7</f>
        <v>96815263.5</v>
      </c>
      <c r="D29" s="43"/>
      <c r="E29" s="43"/>
      <c r="F29" s="43"/>
      <c r="G29" s="43"/>
      <c r="H29" s="43"/>
      <c r="I29" s="43"/>
    </row>
    <row r="30" spans="1:10" x14ac:dyDescent="0.25">
      <c r="A30" s="42" t="str">
        <f>LEFT('SC12'!A8,3)</f>
        <v>Sep</v>
      </c>
      <c r="B30" s="43">
        <f>'SC12'!F8</f>
        <v>80506412.770000011</v>
      </c>
      <c r="C30" s="45">
        <f>'SC12'!G8</f>
        <v>145222895.25</v>
      </c>
      <c r="D30" s="43"/>
      <c r="E30" s="43"/>
      <c r="F30" s="43"/>
      <c r="G30" s="43"/>
      <c r="H30" s="43"/>
      <c r="I30" s="43"/>
    </row>
    <row r="31" spans="1:10" x14ac:dyDescent="0.25">
      <c r="A31" s="42" t="str">
        <f>LEFT('SC12'!A9,3)</f>
        <v>Oct</v>
      </c>
      <c r="B31" s="43">
        <f>'SC12'!F9</f>
        <v>115258074.21000001</v>
      </c>
      <c r="C31" s="45">
        <f>'SC12'!G9</f>
        <v>193630527</v>
      </c>
      <c r="D31" s="43"/>
      <c r="E31" s="43"/>
      <c r="F31" s="43"/>
      <c r="G31" s="43"/>
      <c r="H31" s="43"/>
      <c r="I31" s="43"/>
    </row>
    <row r="32" spans="1:10" x14ac:dyDescent="0.25">
      <c r="A32" s="42" t="str">
        <f>LEFT('SC12'!A10,3)</f>
        <v>Nov</v>
      </c>
      <c r="B32" s="43">
        <f>'SC12'!F10</f>
        <v>180175080.78</v>
      </c>
      <c r="C32" s="45">
        <f>'SC12'!G10</f>
        <v>242038158.75</v>
      </c>
      <c r="D32" s="43"/>
      <c r="E32" s="43"/>
      <c r="F32" s="43"/>
      <c r="G32" s="43"/>
      <c r="H32" s="43"/>
      <c r="I32" s="43"/>
    </row>
    <row r="33" spans="1:9" x14ac:dyDescent="0.25">
      <c r="A33" s="42" t="str">
        <f>LEFT('SC12'!A11,3)</f>
        <v>Dec</v>
      </c>
      <c r="B33" s="43">
        <f>'SC12'!F11</f>
        <v>246596906.75</v>
      </c>
      <c r="C33" s="45">
        <f>'SC12'!G11</f>
        <v>290445790.5</v>
      </c>
      <c r="D33" s="43"/>
      <c r="E33" s="43"/>
      <c r="F33" s="43"/>
      <c r="G33" s="43"/>
      <c r="H33" s="43"/>
      <c r="I33" s="43"/>
    </row>
    <row r="34" spans="1:9" x14ac:dyDescent="0.25">
      <c r="A34" s="42" t="str">
        <f>LEFT('SC12'!A12,3)</f>
        <v>Jan</v>
      </c>
      <c r="B34" s="43">
        <f>'SC12'!F12</f>
        <v>250645750.13</v>
      </c>
      <c r="C34" s="45">
        <f>'SC12'!G12</f>
        <v>338853422.25</v>
      </c>
      <c r="D34" s="43"/>
      <c r="E34" s="43"/>
      <c r="F34" s="43"/>
      <c r="G34" s="43"/>
      <c r="H34" s="43"/>
      <c r="I34" s="43"/>
    </row>
    <row r="35" spans="1:9" x14ac:dyDescent="0.25">
      <c r="A35" s="42" t="str">
        <f>LEFT('SC12'!A13,3)</f>
        <v>Feb</v>
      </c>
      <c r="B35" s="43">
        <f>'SC12'!F13</f>
        <v>285834127.19</v>
      </c>
      <c r="C35" s="45">
        <f>'SC12'!G13</f>
        <v>387261054</v>
      </c>
      <c r="D35" s="43"/>
      <c r="E35" s="43"/>
      <c r="F35" s="43"/>
      <c r="G35" s="43"/>
      <c r="H35" s="43"/>
      <c r="I35" s="43"/>
    </row>
    <row r="36" spans="1:9" x14ac:dyDescent="0.25">
      <c r="A36" s="42" t="str">
        <f>LEFT('SC12'!A14,3)</f>
        <v>Mar</v>
      </c>
      <c r="B36" s="43">
        <f>'SC12'!F14</f>
        <v>315959671.13999999</v>
      </c>
      <c r="C36" s="45">
        <f>'SC12'!G14</f>
        <v>435668685.75</v>
      </c>
      <c r="D36" s="43"/>
      <c r="E36" s="43"/>
      <c r="F36" s="43"/>
      <c r="G36" s="43"/>
      <c r="H36" s="43"/>
      <c r="I36" s="43"/>
    </row>
    <row r="37" spans="1:9" x14ac:dyDescent="0.25">
      <c r="A37" s="42" t="str">
        <f>LEFT('SC12'!A15,3)</f>
        <v>Apr</v>
      </c>
      <c r="B37" s="43">
        <f>'SC12'!F15</f>
        <v>385096967.48000002</v>
      </c>
      <c r="C37" s="45">
        <f>'SC12'!G15</f>
        <v>484076317.5</v>
      </c>
      <c r="D37" s="43"/>
      <c r="E37" s="43"/>
      <c r="F37" s="43"/>
      <c r="G37" s="43"/>
      <c r="H37" s="43"/>
      <c r="I37" s="43"/>
    </row>
    <row r="38" spans="1:9" x14ac:dyDescent="0.25">
      <c r="A38" s="42" t="str">
        <f>LEFT('SC12'!A16,3)</f>
        <v>May</v>
      </c>
      <c r="B38" s="43">
        <f>'SC12'!F16</f>
        <v>420323226.13</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490583211.2100001</v>
      </c>
      <c r="C53" s="43">
        <f>'SC3'!D14</f>
        <v>124257158.44999999</v>
      </c>
      <c r="D53" s="43">
        <f>'SC3'!E14</f>
        <v>103560399.73000002</v>
      </c>
      <c r="E53" s="43">
        <f>'SC3'!F14</f>
        <v>105719131.37</v>
      </c>
      <c r="F53" s="43">
        <f>'SC3'!G14</f>
        <v>96444847.749999985</v>
      </c>
      <c r="G53" s="43">
        <f>'SC3'!H14</f>
        <v>96671243.459999993</v>
      </c>
      <c r="H53" s="43">
        <f>'SC3'!I14</f>
        <v>548792448.8499999</v>
      </c>
      <c r="I53" s="43">
        <f>'SC3'!J14</f>
        <v>3436121524.9899998</v>
      </c>
    </row>
    <row r="54" spans="1:9" x14ac:dyDescent="0.25">
      <c r="A54" s="61" t="str">
        <f>Head1</f>
        <v>2019/20</v>
      </c>
      <c r="B54" s="43">
        <f>'SC3'!C15</f>
        <v>544796088.12999988</v>
      </c>
      <c r="C54" s="43">
        <f>'SC3'!D15</f>
        <v>134082105.61000001</v>
      </c>
      <c r="D54" s="43">
        <f>'SC3'!E15</f>
        <v>107816829.06</v>
      </c>
      <c r="E54" s="43">
        <f>'SC3'!F15</f>
        <v>104195684.89</v>
      </c>
      <c r="F54" s="43">
        <f>'SC3'!G15</f>
        <v>93072838.600000009</v>
      </c>
      <c r="G54" s="43">
        <f>'SC3'!H15</f>
        <v>122498073.30000001</v>
      </c>
      <c r="H54" s="43">
        <f>'SC3'!I15</f>
        <v>494026774.62</v>
      </c>
      <c r="I54" s="43">
        <f>'SC3'!J15</f>
        <v>2751479564.2600002</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218793538.3845</v>
      </c>
      <c r="C78" s="43">
        <f>'SC3'!K17</f>
        <v>225560348.84999999</v>
      </c>
      <c r="D78" s="43"/>
      <c r="E78" s="43"/>
      <c r="F78" s="43"/>
      <c r="G78" s="43"/>
      <c r="H78" s="43"/>
      <c r="I78" s="43"/>
      <c r="J78" s="43"/>
    </row>
    <row r="79" spans="1:10" x14ac:dyDescent="0.25">
      <c r="A79" s="61" t="str">
        <f>'SC3'!A18</f>
        <v>Commercial</v>
      </c>
      <c r="B79" s="43">
        <f>C79*0.97</f>
        <v>740418236.16279995</v>
      </c>
      <c r="C79" s="43">
        <f>'SC3'!K18</f>
        <v>763317769.24000001</v>
      </c>
      <c r="D79" s="43"/>
      <c r="E79" s="43"/>
      <c r="F79" s="43"/>
      <c r="G79" s="43"/>
      <c r="H79" s="43"/>
      <c r="I79" s="43"/>
      <c r="J79" s="43"/>
    </row>
    <row r="80" spans="1:10" x14ac:dyDescent="0.25">
      <c r="A80" s="61" t="str">
        <f>'SC3'!A19</f>
        <v>Households</v>
      </c>
      <c r="B80" s="43">
        <f>C80*0.97</f>
        <v>3654173386.5218992</v>
      </c>
      <c r="C80" s="43">
        <f>'SC3'!K19</f>
        <v>3767189058.2699995</v>
      </c>
    </row>
    <row r="81" spans="1:3" x14ac:dyDescent="0.25">
      <c r="A81" s="61" t="str">
        <f>'SC3'!A20</f>
        <v>Other</v>
      </c>
      <c r="B81" s="43">
        <f>C81*0.97</f>
        <v>238700305.7665</v>
      </c>
      <c r="C81" s="43">
        <f>'SC3'!K20</f>
        <v>246082789.44999999</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164560536.94999999</v>
      </c>
      <c r="C103" s="405">
        <f>'SC4'!L7</f>
        <v>123702041.89</v>
      </c>
      <c r="D103" s="405">
        <f>'SC4'!L8</f>
        <v>0</v>
      </c>
      <c r="E103" s="405">
        <f>'SC4'!L9</f>
        <v>212743550.15000001</v>
      </c>
      <c r="F103" s="405">
        <f>'SC4'!L10</f>
        <v>0</v>
      </c>
      <c r="G103" s="405">
        <f>'SC4'!L11</f>
        <v>0</v>
      </c>
      <c r="H103" s="405">
        <f>'SC4'!L12</f>
        <v>80150338.99000001</v>
      </c>
      <c r="I103" s="405">
        <f>'SC4'!L13</f>
        <v>0</v>
      </c>
      <c r="J103" s="405">
        <f>'SC4'!L14</f>
        <v>228302380.55000001</v>
      </c>
    </row>
    <row r="104" spans="1:10" x14ac:dyDescent="0.25">
      <c r="A104" s="61" t="str">
        <f>A53</f>
        <v>Budget Year 2020/21</v>
      </c>
      <c r="B104" s="43">
        <f>'SC4'!K6</f>
        <v>146516671.94</v>
      </c>
      <c r="C104" s="43">
        <f>'SC4'!K7</f>
        <v>273018236.42000002</v>
      </c>
      <c r="D104" s="43">
        <f>'SC4'!K8</f>
        <v>0</v>
      </c>
      <c r="E104" s="43">
        <f>'SC4'!K9</f>
        <v>224044485.74000001</v>
      </c>
      <c r="F104" s="43">
        <f>'SC4'!K10</f>
        <v>0</v>
      </c>
      <c r="G104" s="43">
        <f>'SC4'!K11</f>
        <v>0</v>
      </c>
      <c r="H104" s="43">
        <f>'SC4'!K12</f>
        <v>90002638.310000002</v>
      </c>
      <c r="I104" s="43">
        <f>'SC4'!K13</f>
        <v>0</v>
      </c>
      <c r="J104" s="43">
        <f>'SC4'!K14</f>
        <v>254746268.64000002</v>
      </c>
    </row>
    <row r="106" spans="1:10" ht="12" customHeight="1" x14ac:dyDescent="0.25">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D32" sqref="D32:D39"/>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18"/>
      <c r="D8" s="1018"/>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t="s">
        <v>1464</v>
      </c>
      <c r="C10" s="845"/>
      <c r="D10" s="846"/>
      <c r="F10" s="823"/>
      <c r="G10" s="822"/>
      <c r="H10" s="823"/>
      <c r="I10" s="823"/>
      <c r="J10" s="822"/>
      <c r="K10" s="824"/>
      <c r="L10" s="824"/>
      <c r="M10" s="824"/>
      <c r="N10" s="824"/>
      <c r="O10" s="824"/>
      <c r="P10" s="825"/>
      <c r="Q10" s="826"/>
    </row>
    <row r="11" spans="1:17" ht="13.5" customHeight="1" x14ac:dyDescent="0.2">
      <c r="A11" s="847"/>
      <c r="B11" s="848"/>
      <c r="C11" s="1019"/>
      <c r="D11" s="1020"/>
      <c r="F11" s="823"/>
      <c r="G11" s="822"/>
      <c r="H11" s="823"/>
      <c r="I11" s="823"/>
      <c r="J11" s="822"/>
      <c r="K11" s="824"/>
      <c r="L11" s="824"/>
      <c r="M11" s="824"/>
      <c r="N11" s="824"/>
      <c r="O11" s="824"/>
      <c r="P11" s="825"/>
      <c r="Q11" s="829"/>
    </row>
    <row r="12" spans="1:17" ht="13.5" customHeight="1" x14ac:dyDescent="0.2">
      <c r="A12" s="843" t="s">
        <v>344</v>
      </c>
      <c r="B12" s="849" t="s">
        <v>1465</v>
      </c>
      <c r="C12" s="850"/>
      <c r="D12" s="850"/>
      <c r="F12" s="823"/>
      <c r="G12" s="823"/>
      <c r="H12" s="823"/>
      <c r="I12" s="823"/>
      <c r="J12" s="822"/>
      <c r="K12" s="824"/>
      <c r="L12" s="824"/>
      <c r="M12" s="824"/>
      <c r="N12" s="824"/>
      <c r="O12" s="824"/>
      <c r="P12" s="825"/>
      <c r="Q12" s="826"/>
    </row>
    <row r="13" spans="1:17" ht="13.5" customHeight="1" x14ac:dyDescent="0.2">
      <c r="A13" s="851"/>
      <c r="B13" s="852"/>
      <c r="C13" s="1021"/>
      <c r="D13" s="1021"/>
      <c r="F13" s="823"/>
      <c r="G13" s="823"/>
      <c r="H13" s="823"/>
      <c r="I13" s="853"/>
      <c r="J13" s="823"/>
      <c r="K13" s="824"/>
      <c r="L13" s="824"/>
      <c r="M13" s="824"/>
      <c r="N13" s="824"/>
      <c r="O13" s="824"/>
      <c r="P13" s="825"/>
    </row>
    <row r="14" spans="1:17" ht="13.5" customHeight="1" thickBot="1" x14ac:dyDescent="0.25">
      <c r="A14" s="1022" t="s">
        <v>345</v>
      </c>
      <c r="B14" s="1023"/>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t="s">
        <v>1461</v>
      </c>
      <c r="C16" s="812"/>
      <c r="D16" s="812"/>
      <c r="E16" s="834"/>
      <c r="F16" s="854"/>
      <c r="G16" s="853"/>
      <c r="H16" s="854"/>
      <c r="I16" s="854"/>
      <c r="J16" s="823"/>
      <c r="K16" s="824"/>
      <c r="L16" s="824"/>
      <c r="M16" s="824"/>
      <c r="N16" s="824"/>
      <c r="O16" s="824"/>
      <c r="P16" s="825"/>
      <c r="Q16" s="813"/>
    </row>
    <row r="17" spans="1:17" ht="13.5" customHeight="1" x14ac:dyDescent="0.2">
      <c r="A17" s="857" t="s">
        <v>348</v>
      </c>
      <c r="B17" s="858" t="s">
        <v>1460</v>
      </c>
      <c r="F17" s="854"/>
      <c r="G17" s="854"/>
      <c r="H17" s="854"/>
      <c r="I17" s="854"/>
      <c r="J17" s="853"/>
      <c r="K17" s="824"/>
      <c r="L17" s="824"/>
      <c r="M17" s="824"/>
      <c r="N17" s="824"/>
      <c r="O17" s="824"/>
      <c r="P17" s="825"/>
    </row>
    <row r="18" spans="1:17" ht="13.5" customHeight="1" x14ac:dyDescent="0.2">
      <c r="A18" s="859" t="s">
        <v>349</v>
      </c>
      <c r="B18" s="860">
        <v>3200</v>
      </c>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t="s">
        <v>1462</v>
      </c>
      <c r="F21" s="854"/>
      <c r="G21" s="854"/>
      <c r="H21" s="854"/>
      <c r="I21" s="854"/>
      <c r="J21" s="854"/>
      <c r="K21" s="824"/>
      <c r="L21" s="824"/>
      <c r="M21" s="824"/>
      <c r="N21" s="824"/>
      <c r="O21" s="824"/>
      <c r="P21" s="825"/>
    </row>
    <row r="22" spans="1:17" ht="13.5" customHeight="1" x14ac:dyDescent="0.2">
      <c r="A22" s="857" t="s">
        <v>352</v>
      </c>
      <c r="B22" s="858" t="s">
        <v>1463</v>
      </c>
      <c r="F22" s="854"/>
      <c r="G22" s="854"/>
      <c r="H22" s="854"/>
      <c r="I22" s="854"/>
      <c r="J22" s="854"/>
      <c r="K22" s="824"/>
      <c r="L22" s="824"/>
      <c r="M22" s="824"/>
      <c r="N22" s="824"/>
      <c r="O22" s="824"/>
      <c r="P22" s="825"/>
    </row>
    <row r="23" spans="1:17" ht="13.5" customHeight="1" x14ac:dyDescent="0.2">
      <c r="A23" s="857" t="s">
        <v>348</v>
      </c>
      <c r="B23" s="858" t="s">
        <v>1460</v>
      </c>
      <c r="F23" s="854"/>
      <c r="G23" s="854"/>
      <c r="H23" s="854"/>
      <c r="I23" s="854"/>
      <c r="J23" s="854"/>
      <c r="K23" s="824"/>
      <c r="L23" s="824"/>
      <c r="M23" s="824"/>
      <c r="N23" s="824"/>
      <c r="O23" s="824"/>
      <c r="P23" s="825"/>
    </row>
    <row r="24" spans="1:17" ht="13.5" customHeight="1" x14ac:dyDescent="0.2">
      <c r="A24" s="859" t="s">
        <v>349</v>
      </c>
      <c r="B24" s="860">
        <v>3200</v>
      </c>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1003">
        <v>333923000</v>
      </c>
      <c r="F27" s="854"/>
      <c r="G27" s="854"/>
      <c r="H27" s="854"/>
      <c r="I27" s="854"/>
      <c r="J27" s="854"/>
      <c r="K27" s="824"/>
      <c r="L27" s="824"/>
      <c r="M27" s="824"/>
      <c r="N27" s="824"/>
      <c r="O27" s="824"/>
      <c r="P27" s="825"/>
    </row>
    <row r="28" spans="1:17" ht="13.5" customHeight="1" x14ac:dyDescent="0.2">
      <c r="A28" s="859" t="s">
        <v>355</v>
      </c>
      <c r="B28" s="1004">
        <v>824978725</v>
      </c>
      <c r="J28" s="854"/>
      <c r="K28" s="854"/>
      <c r="L28" s="854"/>
      <c r="M28" s="854"/>
      <c r="N28" s="854"/>
      <c r="O28" s="854"/>
      <c r="P28" s="825"/>
    </row>
    <row r="29" spans="1:17" ht="13.5" customHeight="1" x14ac:dyDescent="0.2">
      <c r="A29" s="861"/>
      <c r="B29" s="868"/>
      <c r="P29" s="825"/>
    </row>
    <row r="30" spans="1:17" ht="13.5" customHeight="1" thickBot="1" x14ac:dyDescent="0.25">
      <c r="A30" s="1024" t="s">
        <v>356</v>
      </c>
      <c r="B30" s="1025"/>
      <c r="C30" s="1026"/>
      <c r="D30" s="1027"/>
      <c r="P30" s="825"/>
    </row>
    <row r="31" spans="1:17" ht="13.5" customHeight="1" thickTop="1" x14ac:dyDescent="0.2">
      <c r="A31" s="863" t="s">
        <v>357</v>
      </c>
      <c r="B31" s="864"/>
      <c r="C31" s="1028" t="s">
        <v>358</v>
      </c>
      <c r="D31" s="1032"/>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t="s">
        <v>1471</v>
      </c>
      <c r="P34" s="825"/>
    </row>
    <row r="35" spans="1:17" ht="13.5" customHeight="1" x14ac:dyDescent="0.2">
      <c r="A35" s="857" t="s">
        <v>354</v>
      </c>
      <c r="B35" s="869"/>
      <c r="C35" s="857" t="s">
        <v>354</v>
      </c>
      <c r="D35" s="1003">
        <v>333924594</v>
      </c>
      <c r="F35" s="822"/>
      <c r="G35" s="824"/>
      <c r="P35" s="825"/>
    </row>
    <row r="36" spans="1:17" ht="13.5" customHeight="1" x14ac:dyDescent="0.2">
      <c r="A36" s="857" t="s">
        <v>360</v>
      </c>
      <c r="B36" s="869"/>
      <c r="C36" s="857" t="s">
        <v>360</v>
      </c>
      <c r="D36" s="1003">
        <v>711567427</v>
      </c>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t="s">
        <v>1470</v>
      </c>
      <c r="F38" s="823"/>
      <c r="G38" s="824"/>
      <c r="P38" s="825"/>
    </row>
    <row r="39" spans="1:17" ht="13.5" customHeight="1" x14ac:dyDescent="0.2">
      <c r="A39" s="857"/>
      <c r="B39" s="869"/>
      <c r="C39" s="857"/>
      <c r="D39" s="869"/>
      <c r="F39" s="823"/>
      <c r="G39" s="824"/>
      <c r="P39" s="825"/>
    </row>
    <row r="40" spans="1:17" ht="13.5" customHeight="1" x14ac:dyDescent="0.2">
      <c r="A40" s="1030" t="s">
        <v>362</v>
      </c>
      <c r="B40" s="1033"/>
      <c r="C40" s="1030" t="s">
        <v>363</v>
      </c>
      <c r="D40" s="1033"/>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t="s">
        <v>1467</v>
      </c>
      <c r="C43" s="857" t="s">
        <v>359</v>
      </c>
      <c r="D43" s="858"/>
      <c r="F43" s="823"/>
      <c r="G43" s="824"/>
      <c r="P43" s="825"/>
    </row>
    <row r="44" spans="1:17" ht="13.5" customHeight="1" x14ac:dyDescent="0.2">
      <c r="A44" s="857" t="s">
        <v>354</v>
      </c>
      <c r="B44" s="1003">
        <v>333922036</v>
      </c>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t="s">
        <v>1466</v>
      </c>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30" t="s">
        <v>364</v>
      </c>
      <c r="B49" s="1033"/>
      <c r="C49" s="1030" t="s">
        <v>365</v>
      </c>
      <c r="D49" s="1033"/>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t="s">
        <v>1469</v>
      </c>
      <c r="C52" s="857" t="s">
        <v>359</v>
      </c>
      <c r="D52" s="858"/>
      <c r="F52" s="854"/>
      <c r="G52" s="824"/>
      <c r="P52" s="825"/>
    </row>
    <row r="53" spans="1:17" ht="13.5" customHeight="1" x14ac:dyDescent="0.2">
      <c r="A53" s="857" t="s">
        <v>354</v>
      </c>
      <c r="B53" s="1003">
        <v>333924171</v>
      </c>
      <c r="C53" s="857" t="s">
        <v>354</v>
      </c>
      <c r="D53" s="858"/>
      <c r="F53" s="854"/>
      <c r="G53" s="824"/>
      <c r="P53" s="825"/>
    </row>
    <row r="54" spans="1:17" ht="13.5" customHeight="1" x14ac:dyDescent="0.2">
      <c r="A54" s="857" t="s">
        <v>360</v>
      </c>
      <c r="B54" s="1003">
        <v>823671810</v>
      </c>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t="s">
        <v>1468</v>
      </c>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34" t="s">
        <v>366</v>
      </c>
      <c r="B58" s="1035"/>
      <c r="C58" s="1026"/>
      <c r="D58" s="1036"/>
      <c r="E58" s="812"/>
      <c r="F58" s="854"/>
      <c r="G58" s="824"/>
      <c r="P58" s="825"/>
    </row>
    <row r="59" spans="1:17" s="874" customFormat="1" ht="13.5" customHeight="1" thickTop="1" x14ac:dyDescent="0.2">
      <c r="A59" s="863" t="s">
        <v>367</v>
      </c>
      <c r="B59" s="864"/>
      <c r="C59" s="1028" t="s">
        <v>368</v>
      </c>
      <c r="D59" s="1029"/>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30" t="s">
        <v>370</v>
      </c>
      <c r="D68" s="1031"/>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4" t="s">
        <v>371</v>
      </c>
      <c r="B77" s="1015"/>
      <c r="C77" s="1014" t="s">
        <v>371</v>
      </c>
      <c r="D77" s="1015"/>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4" t="s">
        <v>371</v>
      </c>
      <c r="B85" s="1015"/>
      <c r="C85" s="1014" t="s">
        <v>371</v>
      </c>
      <c r="D85" s="1015"/>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4" t="s">
        <v>371</v>
      </c>
      <c r="B93" s="1015"/>
      <c r="C93" s="1014" t="s">
        <v>371</v>
      </c>
      <c r="D93" s="1015"/>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4" t="s">
        <v>371</v>
      </c>
      <c r="B101" s="1015"/>
      <c r="C101" s="1014" t="s">
        <v>371</v>
      </c>
      <c r="D101" s="1015"/>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4" t="s">
        <v>371</v>
      </c>
      <c r="B109" s="1015"/>
      <c r="C109" s="1014" t="s">
        <v>371</v>
      </c>
      <c r="D109" s="1015"/>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4" t="s">
        <v>371</v>
      </c>
      <c r="B117" s="1015"/>
      <c r="C117" s="1014" t="s">
        <v>371</v>
      </c>
      <c r="D117" s="1015"/>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4" t="s">
        <v>371</v>
      </c>
      <c r="B125" s="1015"/>
      <c r="C125" s="1014" t="s">
        <v>371</v>
      </c>
      <c r="D125" s="1015"/>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4" t="s">
        <v>371</v>
      </c>
      <c r="B133" s="1015"/>
      <c r="C133" s="1016"/>
      <c r="D133" s="1017"/>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activeCell="P26" sqref="P26"/>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Consolidated Monthly Budget Statement Summary - M11 May</v>
      </c>
      <c r="B1" s="346"/>
      <c r="C1" s="346"/>
      <c r="D1" s="346"/>
      <c r="E1" s="346"/>
      <c r="F1" s="346"/>
      <c r="G1" s="346"/>
      <c r="H1" s="346"/>
      <c r="I1" s="346"/>
      <c r="J1" s="346"/>
    </row>
    <row r="2" spans="1:10" x14ac:dyDescent="0.25">
      <c r="A2" s="1038" t="str">
        <f>desc</f>
        <v>Description</v>
      </c>
      <c r="B2" s="158" t="str">
        <f>Head1</f>
        <v>2019/20</v>
      </c>
      <c r="C2" s="1040" t="str">
        <f>Head2</f>
        <v>Budget Year 2020/21</v>
      </c>
      <c r="D2" s="1041"/>
      <c r="E2" s="1041"/>
      <c r="F2" s="1041"/>
      <c r="G2" s="1041"/>
      <c r="H2" s="1041"/>
      <c r="I2" s="1041"/>
      <c r="J2" s="1042"/>
    </row>
    <row r="3" spans="1:10" ht="25.5" x14ac:dyDescent="0.25">
      <c r="A3" s="1039"/>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1177107606</v>
      </c>
      <c r="C6" s="649">
        <f>SUM('C4-FinPerf RE'!D6:D6)</f>
        <v>1269794594.0217998</v>
      </c>
      <c r="D6" s="408">
        <f>SUM('C4-FinPerf RE'!E6:E6)</f>
        <v>1269794594.0217998</v>
      </c>
      <c r="E6" s="408">
        <f>SUM('C4-FinPerf RE'!F6:F6)</f>
        <v>87585561.579999998</v>
      </c>
      <c r="F6" s="408">
        <f>SUM('C4-FinPerf RE'!G6:G6)</f>
        <v>1101755574.9200001</v>
      </c>
      <c r="G6" s="650">
        <f>SUM('C4-FinPerf RE'!H6:H6)</f>
        <v>1163978377.8533165</v>
      </c>
      <c r="H6" s="408">
        <f>F6-G6</f>
        <v>-62222802.933316469</v>
      </c>
      <c r="I6" s="591">
        <f>IF(H6=0,"",H6/G6)</f>
        <v>-5.3457009268567127E-2</v>
      </c>
      <c r="J6" s="642">
        <f>SUM('C4-FinPerf RE'!K6:K6)</f>
        <v>1269794594.0217998</v>
      </c>
    </row>
    <row r="7" spans="1:10" ht="12.75" customHeight="1" x14ac:dyDescent="0.25">
      <c r="A7" s="152" t="s">
        <v>962</v>
      </c>
      <c r="B7" s="648">
        <f>SUM('C4-FinPerf RE'!C7:C10)</f>
        <v>3104621257.9200001</v>
      </c>
      <c r="C7" s="649">
        <f>SUM('C4-FinPerf RE'!D7:D10)</f>
        <v>3575763602.2929115</v>
      </c>
      <c r="D7" s="408">
        <f>SUM('C4-FinPerf RE'!E7:E10)</f>
        <v>3575763602.2929115</v>
      </c>
      <c r="E7" s="408">
        <f>SUM('C4-FinPerf RE'!F7:F10)</f>
        <v>268656973.24000001</v>
      </c>
      <c r="F7" s="408">
        <f>SUM('C4-FinPerf RE'!G7:G10)</f>
        <v>3056725682.3299999</v>
      </c>
      <c r="G7" s="650">
        <f>SUM('C4-FinPerf RE'!H7:H10)</f>
        <v>3277783302.1018357</v>
      </c>
      <c r="H7" s="408">
        <f>F7-G7</f>
        <v>-221057619.7718358</v>
      </c>
      <c r="I7" s="207">
        <f>IF(H7=0,"",H7/G7)</f>
        <v>-6.7441194062488968E-2</v>
      </c>
      <c r="J7" s="642">
        <f>SUM('C4-FinPerf RE'!K7:K10)</f>
        <v>3575763602.2929115</v>
      </c>
    </row>
    <row r="8" spans="1:10" ht="12.75" customHeight="1" x14ac:dyDescent="0.25">
      <c r="A8" s="152" t="s">
        <v>496</v>
      </c>
      <c r="B8" s="648">
        <f>'C4-FinPerf RE'!C13</f>
        <v>14116343.539999999</v>
      </c>
      <c r="C8" s="649">
        <f>'C4-FinPerf RE'!D13</f>
        <v>15260422.42725</v>
      </c>
      <c r="D8" s="408">
        <f>'C4-FinPerf RE'!E13</f>
        <v>15369322.42725</v>
      </c>
      <c r="E8" s="408">
        <f>'C4-FinPerf RE'!F13</f>
        <v>973018.17</v>
      </c>
      <c r="F8" s="408">
        <f>'C4-FinPerf RE'!G13</f>
        <v>7020321.1000000006</v>
      </c>
      <c r="G8" s="650">
        <f>'C4-FinPerf RE'!H13</f>
        <v>14088545.5583125</v>
      </c>
      <c r="H8" s="408">
        <f>F8-G8</f>
        <v>-7068224.4583124993</v>
      </c>
      <c r="I8" s="207">
        <f>IF(H8=0,"",H8/G8)</f>
        <v>-0.50170008174776548</v>
      </c>
      <c r="J8" s="642">
        <f>'C4-FinPerf RE'!K13</f>
        <v>15369322.42725</v>
      </c>
    </row>
    <row r="9" spans="1:10" ht="12.75" customHeight="1" x14ac:dyDescent="0.25">
      <c r="A9" s="152" t="s">
        <v>1118</v>
      </c>
      <c r="B9" s="648">
        <f>'C4-FinPerf RE'!C19</f>
        <v>637128044</v>
      </c>
      <c r="C9" s="649">
        <f>'C4-FinPerf RE'!D19</f>
        <v>675483240</v>
      </c>
      <c r="D9" s="408">
        <f>'C4-FinPerf RE'!E19</f>
        <v>819982787</v>
      </c>
      <c r="E9" s="408">
        <f>'C4-FinPerf RE'!F19</f>
        <v>5364582.32</v>
      </c>
      <c r="F9" s="408">
        <f>'C4-FinPerf RE'!G19</f>
        <v>745207087.97000003</v>
      </c>
      <c r="G9" s="650">
        <f>'C4-FinPerf RE'!H19</f>
        <v>751650888.08333337</v>
      </c>
      <c r="H9" s="408">
        <f>F9-G9</f>
        <v>-6443800.1133333445</v>
      </c>
      <c r="I9" s="207">
        <f>IF(H9=0,"",H9/G9)</f>
        <v>-8.5728630345460848E-3</v>
      </c>
      <c r="J9" s="642">
        <f>'C4-FinPerf RE'!K19</f>
        <v>819982787</v>
      </c>
    </row>
    <row r="10" spans="1:10" ht="12.75" customHeight="1" x14ac:dyDescent="0.25">
      <c r="A10" s="232" t="s">
        <v>494</v>
      </c>
      <c r="B10" s="651">
        <f>'C4-FinPerf RE'!C12+'C4-FinPerf RE'!C14+'C4-FinPerf RE'!C15+'C4-FinPerf RE'!C16+'C4-FinPerf RE'!C17+'C4-FinPerf RE'!C18+'C4-FinPerf RE'!C20+'C4-FinPerf RE'!C21</f>
        <v>426957169.95999998</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34908037.909999996</v>
      </c>
      <c r="F10" s="409">
        <f>'C4-FinPerf RE'!G12+'C4-FinPerf RE'!G14+'C4-FinPerf RE'!G15+'C4-FinPerf RE'!G16+'C4-FinPerf RE'!G17+'C4-FinPerf RE'!G18+'C4-FinPerf RE'!G20+'C4-FinPerf RE'!G21</f>
        <v>269137321.71999997</v>
      </c>
      <c r="G10" s="653">
        <f>'C4-FinPerf RE'!H12+'C4-FinPerf RE'!H14+'C4-FinPerf RE'!H15+'C4-FinPerf RE'!H16+'C4-FinPerf RE'!H17+'C4-FinPerf RE'!H18+'C4-FinPerf RE'!H20+'C4-FinPerf RE'!H21</f>
        <v>349716032.53592491</v>
      </c>
      <c r="H10" s="409">
        <f>F10-G10</f>
        <v>-80578710.815924942</v>
      </c>
      <c r="I10" s="208">
        <f>IF(H10=0,"",H10/G10)</f>
        <v>-0.23041182936800994</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5359930421.4200001</v>
      </c>
      <c r="C11" s="656">
        <f t="shared" si="0"/>
        <v>5917810257.8720617</v>
      </c>
      <c r="D11" s="657">
        <f t="shared" si="0"/>
        <v>6062418704.8720617</v>
      </c>
      <c r="E11" s="657">
        <f t="shared" si="0"/>
        <v>397488173.22000003</v>
      </c>
      <c r="F11" s="657">
        <f t="shared" si="0"/>
        <v>5179845988.04</v>
      </c>
      <c r="G11" s="658">
        <f t="shared" si="0"/>
        <v>5557217146.1327229</v>
      </c>
      <c r="H11" s="657">
        <f t="shared" ref="H11:H25" si="1">F11-G11</f>
        <v>-377371158.09272289</v>
      </c>
      <c r="I11" s="593">
        <f t="shared" ref="I11:I25" si="2">IF(H11=0,"",H11/G11)</f>
        <v>-6.7906498553027772E-2</v>
      </c>
      <c r="J11" s="659">
        <f t="shared" si="0"/>
        <v>6062418704.8720617</v>
      </c>
    </row>
    <row r="12" spans="1:10" ht="12.75" customHeight="1" x14ac:dyDescent="0.25">
      <c r="A12" s="152" t="s">
        <v>475</v>
      </c>
      <c r="B12" s="648">
        <f>'C4-FinPerf RE'!C25</f>
        <v>1345486985</v>
      </c>
      <c r="C12" s="649">
        <f>'C4-FinPerf RE'!D25</f>
        <v>1478324301.5741799</v>
      </c>
      <c r="D12" s="408">
        <f>'C4-FinPerf RE'!E25</f>
        <v>1474657970.2495086</v>
      </c>
      <c r="E12" s="408">
        <f>'C4-FinPerf RE'!F25</f>
        <v>106056338.99999999</v>
      </c>
      <c r="F12" s="408">
        <f>'C4-FinPerf RE'!G25</f>
        <v>1234682866.9000008</v>
      </c>
      <c r="G12" s="650">
        <f>'C4-FinPerf RE'!H25</f>
        <v>1351769806.0620496</v>
      </c>
      <c r="H12" s="408">
        <f t="shared" si="1"/>
        <v>-117086939.16204882</v>
      </c>
      <c r="I12" s="207">
        <f t="shared" si="2"/>
        <v>-8.6617513305127208E-2</v>
      </c>
      <c r="J12" s="642">
        <f>'C4-FinPerf RE'!K25</f>
        <v>1474657970.2495086</v>
      </c>
    </row>
    <row r="13" spans="1:10" ht="12.75" customHeight="1" x14ac:dyDescent="0.25">
      <c r="A13" s="152" t="s">
        <v>842</v>
      </c>
      <c r="B13" s="648">
        <f>'C4-FinPerf RE'!C26</f>
        <v>43759322</v>
      </c>
      <c r="C13" s="649">
        <f>'C4-FinPerf RE'!D26</f>
        <v>53650401.115479976</v>
      </c>
      <c r="D13" s="408">
        <f>'C4-FinPerf RE'!E26</f>
        <v>53650401.439999998</v>
      </c>
      <c r="E13" s="408">
        <f>'C4-FinPerf RE'!F26</f>
        <v>4029090.0599999996</v>
      </c>
      <c r="F13" s="408">
        <f>'C4-FinPerf RE'!G26</f>
        <v>47610357.609999992</v>
      </c>
      <c r="G13" s="650">
        <f>'C4-FinPerf RE'!H26</f>
        <v>49179534.653333329</v>
      </c>
      <c r="H13" s="408">
        <f t="shared" si="1"/>
        <v>-1569177.0433333367</v>
      </c>
      <c r="I13" s="207">
        <f t="shared" si="2"/>
        <v>-3.190711450188518E-2</v>
      </c>
      <c r="J13" s="642">
        <f>'C4-FinPerf RE'!K26</f>
        <v>53650401.439999998</v>
      </c>
    </row>
    <row r="14" spans="1:10" ht="12.75" customHeight="1" x14ac:dyDescent="0.25">
      <c r="A14" s="581" t="s">
        <v>664</v>
      </c>
      <c r="B14" s="648">
        <f>'C4-FinPerf RE'!C28</f>
        <v>417614093.69000024</v>
      </c>
      <c r="C14" s="649">
        <f>'C4-FinPerf RE'!D28</f>
        <v>489941448.27473986</v>
      </c>
      <c r="D14" s="408">
        <f>'C4-FinPerf RE'!E28</f>
        <v>482441449.27473998</v>
      </c>
      <c r="E14" s="408">
        <f>'C4-FinPerf RE'!F28</f>
        <v>36077072.469999984</v>
      </c>
      <c r="F14" s="408">
        <f>'C4-FinPerf RE'!G28</f>
        <v>388217050.96000016</v>
      </c>
      <c r="G14" s="650">
        <f>'C4-FinPerf RE'!H28</f>
        <v>442237995.16851163</v>
      </c>
      <c r="H14" s="408">
        <f t="shared" si="1"/>
        <v>-54020944.208511472</v>
      </c>
      <c r="I14" s="207">
        <f t="shared" si="2"/>
        <v>-0.12215355713144271</v>
      </c>
      <c r="J14" s="642">
        <f>'C4-FinPerf RE'!K28</f>
        <v>482441449.27473998</v>
      </c>
    </row>
    <row r="15" spans="1:10" ht="12.75" customHeight="1" x14ac:dyDescent="0.25">
      <c r="A15" s="152" t="s">
        <v>452</v>
      </c>
      <c r="B15" s="648">
        <f>'C4-FinPerf RE'!C29</f>
        <v>43716970</v>
      </c>
      <c r="C15" s="649">
        <f>'C4-FinPerf RE'!D29</f>
        <v>31793212.220000003</v>
      </c>
      <c r="D15" s="408">
        <f>'C4-FinPerf RE'!E29</f>
        <v>36505334.219999969</v>
      </c>
      <c r="E15" s="408">
        <f>'C4-FinPerf RE'!F29</f>
        <v>334317.39</v>
      </c>
      <c r="F15" s="408">
        <f>'C4-FinPerf RE'!G29</f>
        <v>33216515.189999998</v>
      </c>
      <c r="G15" s="650">
        <f>'C4-FinPerf RE'!H29</f>
        <v>33463223.03499997</v>
      </c>
      <c r="H15" s="408">
        <f t="shared" si="1"/>
        <v>-246707.84499997273</v>
      </c>
      <c r="I15" s="207">
        <f t="shared" si="2"/>
        <v>-7.3725069680806062E-3</v>
      </c>
      <c r="J15" s="642">
        <f>'C4-FinPerf RE'!K29</f>
        <v>36505334.219999969</v>
      </c>
    </row>
    <row r="16" spans="1:10" ht="12.75" customHeight="1" x14ac:dyDescent="0.25">
      <c r="A16" s="152" t="s">
        <v>495</v>
      </c>
      <c r="B16" s="648">
        <f>SUM('C4-FinPerf RE'!C30:C31)</f>
        <v>2548288187.75</v>
      </c>
      <c r="C16" s="649">
        <f>SUM('C4-FinPerf RE'!D30:D31)</f>
        <v>2654837499.1911387</v>
      </c>
      <c r="D16" s="408">
        <f>SUM('C4-FinPerf RE'!E30:E31)</f>
        <v>2617809631.6479759</v>
      </c>
      <c r="E16" s="408">
        <f>SUM('C4-FinPerf RE'!F30:F31)</f>
        <v>196403413.69999999</v>
      </c>
      <c r="F16" s="408">
        <f>SUM('C4-FinPerf RE'!G30:G31)</f>
        <v>2407999693.7000003</v>
      </c>
      <c r="G16" s="650">
        <f>SUM('C4-FinPerf RE'!H30:H31)</f>
        <v>2399658829.0106444</v>
      </c>
      <c r="H16" s="408">
        <f t="shared" si="1"/>
        <v>8340864.6893558502</v>
      </c>
      <c r="I16" s="591">
        <f t="shared" si="2"/>
        <v>3.4758543958495576E-3</v>
      </c>
      <c r="J16" s="642">
        <f>SUM('C4-FinPerf RE'!K30:K31)</f>
        <v>2617809631.6479759</v>
      </c>
    </row>
    <row r="17" spans="1:11" ht="12.75" customHeight="1" x14ac:dyDescent="0.25">
      <c r="A17" s="152" t="s">
        <v>1118</v>
      </c>
      <c r="B17" s="648">
        <f>'C4-FinPerf RE'!C33</f>
        <v>25306678</v>
      </c>
      <c r="C17" s="649">
        <f>'C4-FinPerf RE'!D33</f>
        <v>25080461.44304001</v>
      </c>
      <c r="D17" s="408">
        <f>'C4-FinPerf RE'!E33</f>
        <v>59680462</v>
      </c>
      <c r="E17" s="408">
        <f>'C4-FinPerf RE'!F33</f>
        <v>3069594.4399999995</v>
      </c>
      <c r="F17" s="408">
        <f>'C4-FinPerf RE'!G33</f>
        <v>42782679.439999998</v>
      </c>
      <c r="G17" s="650">
        <f>'C4-FinPerf RE'!H33</f>
        <v>54707090.166666664</v>
      </c>
      <c r="H17" s="408">
        <f t="shared" si="1"/>
        <v>-11924410.726666667</v>
      </c>
      <c r="I17" s="207">
        <f t="shared" si="2"/>
        <v>-0.21796828693207076</v>
      </c>
      <c r="J17" s="642">
        <f>'C4-FinPerf RE'!K33</f>
        <v>59680462</v>
      </c>
    </row>
    <row r="18" spans="1:11" ht="12.75" customHeight="1" x14ac:dyDescent="0.25">
      <c r="A18" s="152" t="s">
        <v>434</v>
      </c>
      <c r="B18" s="648">
        <f>'C4-FinPerf RE'!C36-SUM('C1-Sum'!B12:B17)</f>
        <v>1142476601.1099968</v>
      </c>
      <c r="C18" s="649">
        <f>'C4-FinPerf RE'!D36-SUM('C1-Sum'!C12:C17)</f>
        <v>782850145.72604942</v>
      </c>
      <c r="D18" s="408">
        <f>'C4-FinPerf RE'!E36-SUM('C1-Sum'!D12:D17)</f>
        <v>948405778.58908653</v>
      </c>
      <c r="E18" s="408">
        <f>'C4-FinPerf RE'!F36-SUM('C1-Sum'!E12:E17)</f>
        <v>47757708.869999945</v>
      </c>
      <c r="F18" s="408">
        <f>'C4-FinPerf RE'!G36-SUM('C1-Sum'!F12:F17)</f>
        <v>675789698.09999847</v>
      </c>
      <c r="G18" s="650">
        <f>'C4-FinPerf RE'!H36-SUM('C1-Sum'!G12:G17)</f>
        <v>869371963.70666313</v>
      </c>
      <c r="H18" s="408">
        <f t="shared" si="1"/>
        <v>-193582265.60666466</v>
      </c>
      <c r="I18" s="207">
        <f t="shared" si="2"/>
        <v>-0.22266909181348032</v>
      </c>
      <c r="J18" s="642">
        <f>'C4-FinPerf RE'!K36-SUM('C1-Sum'!J12:J17)</f>
        <v>948405778.58908653</v>
      </c>
    </row>
    <row r="19" spans="1:11" ht="12.75" customHeight="1" x14ac:dyDescent="0.25">
      <c r="A19" s="583" t="s">
        <v>488</v>
      </c>
      <c r="B19" s="660">
        <f t="shared" ref="B19:G19" si="3">SUM(B12:B18)</f>
        <v>5566648837.5499973</v>
      </c>
      <c r="C19" s="661">
        <f t="shared" si="3"/>
        <v>5516477469.5446281</v>
      </c>
      <c r="D19" s="662">
        <f t="shared" si="3"/>
        <v>5673151027.4213114</v>
      </c>
      <c r="E19" s="662">
        <f t="shared" si="3"/>
        <v>393727535.92999989</v>
      </c>
      <c r="F19" s="662">
        <f t="shared" si="3"/>
        <v>4830298861.8999996</v>
      </c>
      <c r="G19" s="663">
        <f t="shared" si="3"/>
        <v>5200388441.8028688</v>
      </c>
      <c r="H19" s="662">
        <f t="shared" si="1"/>
        <v>-370089579.90286922</v>
      </c>
      <c r="I19" s="382">
        <f t="shared" si="2"/>
        <v>-7.1165756951526243E-2</v>
      </c>
      <c r="J19" s="664">
        <f>SUM(J12:J18)</f>
        <v>5673151027.4213114</v>
      </c>
    </row>
    <row r="20" spans="1:11" ht="12.75" customHeight="1" x14ac:dyDescent="0.25">
      <c r="A20" s="153" t="s">
        <v>489</v>
      </c>
      <c r="B20" s="665">
        <f t="shared" ref="B20:G20" si="4">B11-B19</f>
        <v>-206718416.12999725</v>
      </c>
      <c r="C20" s="666">
        <f t="shared" si="4"/>
        <v>401332788.32743359</v>
      </c>
      <c r="D20" s="637">
        <f t="shared" si="4"/>
        <v>389267677.45075035</v>
      </c>
      <c r="E20" s="637">
        <f t="shared" si="4"/>
        <v>3760637.2900001407</v>
      </c>
      <c r="F20" s="637">
        <f t="shared" si="4"/>
        <v>349547126.14000034</v>
      </c>
      <c r="G20" s="667">
        <f t="shared" si="4"/>
        <v>356828704.32985401</v>
      </c>
      <c r="H20" s="637">
        <f t="shared" si="1"/>
        <v>-7281578.1898536682</v>
      </c>
      <c r="I20" s="206">
        <f t="shared" si="2"/>
        <v>-2.0406368942568438E-2</v>
      </c>
      <c r="J20" s="641">
        <f>J11-J19</f>
        <v>389267677.45075035</v>
      </c>
    </row>
    <row r="21" spans="1:11" s="987" customFormat="1" ht="23.45" customHeight="1" x14ac:dyDescent="0.2">
      <c r="A21" s="989" t="str">
        <f>'C4-FinPerf RE'!A39</f>
        <v>Transfers and subsidies - capital (monetary allocations) (National / Provincial and District)</v>
      </c>
      <c r="B21" s="981">
        <f>'C4-FinPerf RE'!C39</f>
        <v>430113748.5</v>
      </c>
      <c r="C21" s="982">
        <f>'C4-FinPerf RE'!D39</f>
        <v>525891580.99999982</v>
      </c>
      <c r="D21" s="983">
        <f>'C4-FinPerf RE'!E39</f>
        <v>526485334.99999982</v>
      </c>
      <c r="E21" s="983">
        <f>'C4-FinPerf RE'!F39</f>
        <v>31935900.780000001</v>
      </c>
      <c r="F21" s="983">
        <f>'C4-FinPerf RE'!G39</f>
        <v>408514243.01999998</v>
      </c>
      <c r="G21" s="984">
        <f>'C4-FinPerf RE'!H39</f>
        <v>482611557.08333313</v>
      </c>
      <c r="H21" s="983">
        <f t="shared" si="1"/>
        <v>-74097314.063333154</v>
      </c>
      <c r="I21" s="985">
        <f t="shared" si="2"/>
        <v>-0.15353406476865344</v>
      </c>
      <c r="J21" s="986">
        <f>'C4-FinPerf RE'!K39</f>
        <v>526485334.99999982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223395332.37000275</v>
      </c>
      <c r="C23" s="656">
        <f t="shared" si="5"/>
        <v>927224369.32743335</v>
      </c>
      <c r="D23" s="657">
        <f t="shared" si="5"/>
        <v>915753012.45075011</v>
      </c>
      <c r="E23" s="657">
        <f t="shared" si="5"/>
        <v>35696538.070000142</v>
      </c>
      <c r="F23" s="657">
        <f t="shared" si="5"/>
        <v>758061369.16000032</v>
      </c>
      <c r="G23" s="658">
        <f t="shared" si="5"/>
        <v>839440261.41318715</v>
      </c>
      <c r="H23" s="657">
        <f t="shared" si="1"/>
        <v>-81378892.253186822</v>
      </c>
      <c r="I23" s="592">
        <f t="shared" si="2"/>
        <v>-9.6944232953738094E-2</v>
      </c>
      <c r="J23" s="659">
        <f>J20+J21+J22</f>
        <v>915753012.45075011</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223395332.37000275</v>
      </c>
      <c r="C25" s="666">
        <f t="shared" si="6"/>
        <v>927224369.32743335</v>
      </c>
      <c r="D25" s="637">
        <f t="shared" si="6"/>
        <v>915753012.45075011</v>
      </c>
      <c r="E25" s="637">
        <f t="shared" si="6"/>
        <v>35696538.070000142</v>
      </c>
      <c r="F25" s="637">
        <f t="shared" si="6"/>
        <v>758061369.16000032</v>
      </c>
      <c r="G25" s="667">
        <f t="shared" si="6"/>
        <v>839440261.41318715</v>
      </c>
      <c r="H25" s="637">
        <f t="shared" si="1"/>
        <v>-81378892.253186822</v>
      </c>
      <c r="I25" s="206">
        <f t="shared" si="2"/>
        <v>-9.6944232953738094E-2</v>
      </c>
      <c r="J25" s="641">
        <f>J23+J24</f>
        <v>915753012.45075011</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479855222.16999996</v>
      </c>
      <c r="C28" s="661">
        <f>'C5-Capex'!D40</f>
        <v>580891581</v>
      </c>
      <c r="D28" s="662">
        <f>'C5-Capex'!E40</f>
        <v>747190359.77999997</v>
      </c>
      <c r="E28" s="662">
        <f>'C5-Capex'!F40</f>
        <v>35226258.649999999</v>
      </c>
      <c r="F28" s="662">
        <f>'C5-Capex'!G40</f>
        <v>420492778.13</v>
      </c>
      <c r="G28" s="663">
        <f>'C5-Capex'!H40</f>
        <v>684924496.46499991</v>
      </c>
      <c r="H28" s="662">
        <f t="shared" ref="H28:H33" si="7">F28-G28</f>
        <v>-264431718.33499992</v>
      </c>
      <c r="I28" s="382">
        <f t="shared" ref="I28:I33" si="8">IF(H28=0,"",H28/G28)</f>
        <v>-0.38607426030135067</v>
      </c>
      <c r="J28" s="664">
        <f>'C5-Capex'!K40</f>
        <v>747190359.77999997</v>
      </c>
    </row>
    <row r="29" spans="1:11" ht="12.75" customHeight="1" x14ac:dyDescent="0.25">
      <c r="A29" s="152" t="s">
        <v>499</v>
      </c>
      <c r="B29" s="648">
        <f>'C5-Capex'!C70</f>
        <v>389132125</v>
      </c>
      <c r="C29" s="649">
        <f>'C5-Capex'!D70</f>
        <v>525891580.99999988</v>
      </c>
      <c r="D29" s="408">
        <f>'C5-Capex'!E70</f>
        <v>648605943.77999997</v>
      </c>
      <c r="E29" s="408">
        <f>'C5-Capex'!F70</f>
        <v>29865879.670000002</v>
      </c>
      <c r="F29" s="408">
        <f>'C5-Capex'!G70</f>
        <v>369937091.22000003</v>
      </c>
      <c r="G29" s="650">
        <f>'C5-Capex'!H70</f>
        <v>594555448.46499991</v>
      </c>
      <c r="H29" s="408">
        <f t="shared" si="7"/>
        <v>-224618357.24499989</v>
      </c>
      <c r="I29" s="591">
        <f t="shared" si="8"/>
        <v>-0.37779210976017596</v>
      </c>
      <c r="J29" s="642">
        <f>'C5-Capex'!K70</f>
        <v>648605943.77999997</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4229818.17</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86493279</v>
      </c>
      <c r="C32" s="661">
        <f>'C5-Capex'!D73</f>
        <v>55000000</v>
      </c>
      <c r="D32" s="662">
        <f>'C5-Capex'!E73</f>
        <v>98584414</v>
      </c>
      <c r="E32" s="662">
        <f>'C5-Capex'!F73</f>
        <v>5360378.9800000004</v>
      </c>
      <c r="F32" s="662">
        <f>'C5-Capex'!G73</f>
        <v>50555686.909999989</v>
      </c>
      <c r="G32" s="663">
        <f>'C5-Capex'!H73</f>
        <v>90369046.166666657</v>
      </c>
      <c r="H32" s="662">
        <f t="shared" si="7"/>
        <v>-39813359.256666668</v>
      </c>
      <c r="I32" s="382">
        <f t="shared" si="8"/>
        <v>-0.44056411952428176</v>
      </c>
      <c r="J32" s="664">
        <f>'C5-Capex'!K73</f>
        <v>98584414</v>
      </c>
      <c r="K32" s="156"/>
    </row>
    <row r="33" spans="1:10" ht="12.75" customHeight="1" x14ac:dyDescent="0.25">
      <c r="A33" s="583" t="s">
        <v>137</v>
      </c>
      <c r="B33" s="668">
        <f t="shared" ref="B33:G33" si="9">+B29+B31+B32</f>
        <v>479855222.17000002</v>
      </c>
      <c r="C33" s="613">
        <f t="shared" si="9"/>
        <v>580891580.99999988</v>
      </c>
      <c r="D33" s="611">
        <f t="shared" si="9"/>
        <v>747190357.77999997</v>
      </c>
      <c r="E33" s="611">
        <f t="shared" si="9"/>
        <v>35226258.650000006</v>
      </c>
      <c r="F33" s="611">
        <f t="shared" si="9"/>
        <v>420492778.13</v>
      </c>
      <c r="G33" s="612">
        <f t="shared" si="9"/>
        <v>684924494.63166654</v>
      </c>
      <c r="H33" s="611">
        <f t="shared" si="7"/>
        <v>-264431716.50166655</v>
      </c>
      <c r="I33" s="594">
        <f t="shared" si="8"/>
        <v>-0.38607425865805928</v>
      </c>
      <c r="J33" s="614">
        <f>+J29+J31+J32</f>
        <v>747190357.77999997</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2861868720.5699997</v>
      </c>
      <c r="C36" s="649">
        <f>'C6-FinPos'!D13</f>
        <v>2972344764.6444831</v>
      </c>
      <c r="D36" s="408">
        <f>'C6-FinPos'!E13</f>
        <v>2694173744.3592668</v>
      </c>
      <c r="E36" s="408"/>
      <c r="F36" s="408">
        <f>'C6-FinPos'!F13</f>
        <v>2606531460.8300004</v>
      </c>
      <c r="G36" s="217"/>
      <c r="H36" s="217"/>
      <c r="I36" s="219"/>
      <c r="J36" s="642">
        <f>'C6-FinPos'!G13</f>
        <v>2694173744.3592668</v>
      </c>
    </row>
    <row r="37" spans="1:10" ht="12.75" customHeight="1" x14ac:dyDescent="0.25">
      <c r="A37" s="152" t="s">
        <v>631</v>
      </c>
      <c r="B37" s="648">
        <f>'C6-FinPos'!C25</f>
        <v>7787361578</v>
      </c>
      <c r="C37" s="649">
        <f>'C6-FinPos'!D25</f>
        <v>8340425652.5764656</v>
      </c>
      <c r="D37" s="408">
        <f>'C6-FinPos'!E25</f>
        <v>8511254429.0807037</v>
      </c>
      <c r="E37" s="408"/>
      <c r="F37" s="408">
        <f>'C6-FinPos'!F25</f>
        <v>7422851205.4900036</v>
      </c>
      <c r="G37" s="217"/>
      <c r="H37" s="217"/>
      <c r="I37" s="219"/>
      <c r="J37" s="642">
        <f>'C6-FinPos'!G25</f>
        <v>8511254429.0807037</v>
      </c>
    </row>
    <row r="38" spans="1:10" ht="12.75" customHeight="1" x14ac:dyDescent="0.25">
      <c r="A38" s="152" t="s">
        <v>459</v>
      </c>
      <c r="B38" s="648">
        <f>'C6-FinPos'!C35</f>
        <v>1893327921.9200001</v>
      </c>
      <c r="C38" s="649">
        <f>'C6-FinPos'!D35</f>
        <v>1441718351.4141357</v>
      </c>
      <c r="D38" s="408">
        <f>'C6-FinPos'!E35</f>
        <v>1345847464.413985</v>
      </c>
      <c r="E38" s="408"/>
      <c r="F38" s="408">
        <f>'C6-FinPos'!F35</f>
        <v>1457232801.9200001</v>
      </c>
      <c r="G38" s="217"/>
      <c r="H38" s="217"/>
      <c r="I38" s="219"/>
      <c r="J38" s="642">
        <f>'C6-FinPos'!G35</f>
        <v>1345847464.413985</v>
      </c>
    </row>
    <row r="39" spans="1:10" ht="12.75" customHeight="1" x14ac:dyDescent="0.25">
      <c r="A39" s="152" t="s">
        <v>458</v>
      </c>
      <c r="B39" s="648">
        <f>'C6-FinPos'!C40</f>
        <v>816497835.64999998</v>
      </c>
      <c r="C39" s="649">
        <f>'C6-FinPos'!D40</f>
        <v>1091864951.9305663</v>
      </c>
      <c r="D39" s="408">
        <f>'C6-FinPos'!E40</f>
        <v>1091864951.9305663</v>
      </c>
      <c r="E39" s="408"/>
      <c r="F39" s="408">
        <f>'C6-FinPos'!F40</f>
        <v>816497835.28999996</v>
      </c>
      <c r="G39" s="217"/>
      <c r="H39" s="217"/>
      <c r="I39" s="219"/>
      <c r="J39" s="642">
        <f>'C6-FinPos'!G40</f>
        <v>1091864951.9305663</v>
      </c>
    </row>
    <row r="40" spans="1:10" ht="12.75" customHeight="1" x14ac:dyDescent="0.25">
      <c r="A40" s="152" t="s">
        <v>136</v>
      </c>
      <c r="B40" s="665">
        <f>'C6-FinPos'!C48</f>
        <v>7939404541</v>
      </c>
      <c r="C40" s="666">
        <f>'C6-FinPos'!D48</f>
        <v>8779187113.8762474</v>
      </c>
      <c r="D40" s="637">
        <f>'C6-FinPos'!E48</f>
        <v>8767715757.0954189</v>
      </c>
      <c r="E40" s="408"/>
      <c r="F40" s="637">
        <f>'C6-FinPos'!F48</f>
        <v>7755652028.9200001</v>
      </c>
      <c r="G40" s="595"/>
      <c r="H40" s="595"/>
      <c r="I40" s="596"/>
      <c r="J40" s="641">
        <f>'C6-FinPos'!G48</f>
        <v>8767715757.0954189</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676226236</v>
      </c>
      <c r="C43" s="649">
        <f>'C7-CFlow'!D18</f>
        <v>752533430.43256187</v>
      </c>
      <c r="D43" s="408">
        <f>'C7-CFlow'!E18</f>
        <v>594287085.52309227</v>
      </c>
      <c r="E43" s="408">
        <f>'C7-CFlow'!F18</f>
        <v>-111577874.29999995</v>
      </c>
      <c r="F43" s="408">
        <f>'C7-CFlow'!G18</f>
        <v>-41560188.979999781</v>
      </c>
      <c r="G43" s="650">
        <f>'C7-CFlow'!H18</f>
        <v>544763161.72950077</v>
      </c>
      <c r="H43" s="408">
        <f>G43-F43</f>
        <v>586323350.70950055</v>
      </c>
      <c r="I43" s="207">
        <f>IF(H43=0,"",H43/G43)</f>
        <v>1.0762903806638751</v>
      </c>
      <c r="J43" s="642">
        <f>'C7-CFlow'!K18</f>
        <v>594287085.52309227</v>
      </c>
    </row>
    <row r="44" spans="1:10" ht="12.75" customHeight="1" x14ac:dyDescent="0.25">
      <c r="A44" s="152" t="s">
        <v>649</v>
      </c>
      <c r="B44" s="648">
        <f>'C7-CFlow'!C28</f>
        <v>-381844005</v>
      </c>
      <c r="C44" s="649">
        <f>'C7-CFlow'!D28</f>
        <v>-580891580.99999988</v>
      </c>
      <c r="D44" s="408">
        <f>'C7-CFlow'!E28</f>
        <v>-747190357.77999985</v>
      </c>
      <c r="E44" s="408">
        <f>'C7-CFlow'!F28</f>
        <v>-51745663.259999998</v>
      </c>
      <c r="F44" s="408">
        <f>'C7-CFlow'!G28</f>
        <v>-33190270.490000002</v>
      </c>
      <c r="G44" s="650">
        <f>'C7-CFlow'!H28</f>
        <v>-684924494.63166654</v>
      </c>
      <c r="H44" s="408">
        <f>G44-F44</f>
        <v>-651734224.14166653</v>
      </c>
      <c r="I44" s="207">
        <f>IF(H44=0,"",H44/G44)</f>
        <v>0.95154170897647805</v>
      </c>
      <c r="J44" s="642">
        <f>'C7-CFlow'!K28</f>
        <v>-747190357.77999985</v>
      </c>
    </row>
    <row r="45" spans="1:10" ht="12.75" customHeight="1" x14ac:dyDescent="0.25">
      <c r="A45" s="152" t="s">
        <v>647</v>
      </c>
      <c r="B45" s="648">
        <f>'C7-CFlow'!C37</f>
        <v>-83600511</v>
      </c>
      <c r="C45" s="649">
        <f>'C7-CFlow'!D37</f>
        <v>-79206000</v>
      </c>
      <c r="D45" s="408">
        <f>'C7-CFlow'!E37</f>
        <v>-79206000</v>
      </c>
      <c r="E45" s="408">
        <f>'C7-CFlow'!F37</f>
        <v>-19566786.379999999</v>
      </c>
      <c r="F45" s="408">
        <f>'C7-CFlow'!G37</f>
        <v>-20256190.370000001</v>
      </c>
      <c r="G45" s="650">
        <f>'C7-CFlow'!H37</f>
        <v>-72605500</v>
      </c>
      <c r="H45" s="408">
        <f>G45-F45</f>
        <v>-52349309.629999995</v>
      </c>
      <c r="I45" s="207">
        <f>IF(H45=0,"",H45/G45)</f>
        <v>0.72101024894808241</v>
      </c>
      <c r="J45" s="642">
        <f>'C7-CFlow'!K37</f>
        <v>-79206000</v>
      </c>
    </row>
    <row r="46" spans="1:10" ht="12.75" customHeight="1" x14ac:dyDescent="0.25">
      <c r="A46" s="153" t="s">
        <v>54</v>
      </c>
      <c r="B46" s="665">
        <f>'C7-CFlow'!C41</f>
        <v>518976965</v>
      </c>
      <c r="C46" s="666">
        <f>'C7-CFlow'!D41</f>
        <v>382435849.43256199</v>
      </c>
      <c r="D46" s="637">
        <f>'C7-CFlow'!E41</f>
        <v>286867694.74309242</v>
      </c>
      <c r="E46" s="637">
        <f>'C7-CFlow'!F41</f>
        <v>0</v>
      </c>
      <c r="F46" s="637">
        <f>'C7-CFlow'!G41</f>
        <v>375041599.16000021</v>
      </c>
      <c r="G46" s="667">
        <f>'C7-CFlow'!H41</f>
        <v>306210134.09783423</v>
      </c>
      <c r="H46" s="637">
        <f>G46-F46</f>
        <v>-68831465.062165976</v>
      </c>
      <c r="I46" s="206">
        <f>IF(H46=0,"",H46/G46)</f>
        <v>-0.22478506553990896</v>
      </c>
      <c r="J46" s="641">
        <f>'C7-CFlow'!K41</f>
        <v>237938976.74309242</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490583211.2100001</v>
      </c>
      <c r="C50" s="649">
        <f>'SC3'!D14</f>
        <v>124257158.44999999</v>
      </c>
      <c r="D50" s="408">
        <f>'SC3'!E14</f>
        <v>103560399.73000002</v>
      </c>
      <c r="E50" s="408">
        <f>'SC3'!F14</f>
        <v>105719131.37</v>
      </c>
      <c r="F50" s="408">
        <f>'SC3'!G14</f>
        <v>96444847.749999985</v>
      </c>
      <c r="G50" s="650">
        <f>'SC3'!H14</f>
        <v>96671243.459999993</v>
      </c>
      <c r="H50" s="408">
        <f>'SC3'!I14</f>
        <v>548792448.8499999</v>
      </c>
      <c r="I50" s="650">
        <f>'SC3'!J14</f>
        <v>3436121524.9899998</v>
      </c>
      <c r="J50" s="642">
        <f>'SC3'!K14</f>
        <v>5002149965.8099995</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876185995.95000005</v>
      </c>
      <c r="C52" s="649">
        <f>'SC4'!D15</f>
        <v>103133867.09</v>
      </c>
      <c r="D52" s="408">
        <f>'SC4'!E15</f>
        <v>8811938.4400000013</v>
      </c>
      <c r="E52" s="408">
        <f>'SC4'!F15</f>
        <v>49470.36</v>
      </c>
      <c r="F52" s="408">
        <f>'SC4'!G15</f>
        <v>147029.21</v>
      </c>
      <c r="G52" s="650">
        <f>'SC4'!H15</f>
        <v>0</v>
      </c>
      <c r="H52" s="408">
        <f>'SC4'!I15</f>
        <v>0</v>
      </c>
      <c r="I52" s="650">
        <f>'SC4'!J15</f>
        <v>0</v>
      </c>
      <c r="J52" s="642">
        <f>'SC4'!K15</f>
        <v>988328301.05000007</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37"/>
      <c r="B55" s="1037"/>
      <c r="C55" s="1037"/>
      <c r="D55" s="1037"/>
      <c r="E55" s="1037"/>
      <c r="F55" s="1037"/>
      <c r="G55" s="1037"/>
      <c r="H55" s="1037"/>
      <c r="I55" s="1037"/>
      <c r="J55" s="1037"/>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activeCell="O32" sqref="O32"/>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47" t="str">
        <f>muni&amp; " - "&amp;S71A&amp; " - "&amp;date</f>
        <v>KZN225 Msunduzi - Table C2 Consolidated Monthly Budget Statement - Financial Performance (functional classification)  - M11 May</v>
      </c>
      <c r="B1" s="1047"/>
      <c r="C1" s="1047"/>
      <c r="D1" s="1047"/>
      <c r="E1" s="1047"/>
      <c r="F1" s="1047"/>
      <c r="G1" s="1047"/>
      <c r="H1" s="1047"/>
      <c r="I1" s="1047"/>
      <c r="J1" s="1047"/>
      <c r="K1" s="1047"/>
    </row>
    <row r="2" spans="1:18" x14ac:dyDescent="0.25">
      <c r="A2" s="1045" t="str">
        <f>desc</f>
        <v>Description</v>
      </c>
      <c r="B2" s="1043" t="str">
        <f>head27</f>
        <v>Ref</v>
      </c>
      <c r="C2" s="24" t="str">
        <f>Head1</f>
        <v>2019/20</v>
      </c>
      <c r="D2" s="231" t="str">
        <f>Head2</f>
        <v>Budget Year 2020/21</v>
      </c>
      <c r="E2" s="229"/>
      <c r="F2" s="229"/>
      <c r="G2" s="229"/>
      <c r="H2" s="229"/>
      <c r="I2" s="229"/>
      <c r="J2" s="229"/>
      <c r="K2" s="230"/>
    </row>
    <row r="3" spans="1:18" ht="25.5" x14ac:dyDescent="0.25">
      <c r="A3" s="1046"/>
      <c r="B3" s="1044"/>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1658394619.1699998</v>
      </c>
      <c r="D6" s="669">
        <f t="shared" si="0"/>
        <v>1572338502.3175159</v>
      </c>
      <c r="E6" s="637">
        <f t="shared" si="0"/>
        <v>1661336502.3175159</v>
      </c>
      <c r="F6" s="637">
        <f t="shared" si="0"/>
        <v>92409327.119999975</v>
      </c>
      <c r="G6" s="637">
        <f t="shared" si="0"/>
        <v>1571977301.8</v>
      </c>
      <c r="H6" s="637">
        <f t="shared" si="0"/>
        <v>1522891793.7910564</v>
      </c>
      <c r="I6" s="47">
        <f t="shared" ref="I6:I13" si="1">G6-H6</f>
        <v>49085508.008943558</v>
      </c>
      <c r="J6" s="200">
        <f>IF(I6=0,"",I6/H6)</f>
        <v>3.2231776551077916E-2</v>
      </c>
      <c r="K6" s="641">
        <f>SUM(K7:K9)</f>
        <v>1661336502.3175159</v>
      </c>
      <c r="L6" s="100"/>
      <c r="Q6" s="69"/>
      <c r="R6" s="70"/>
    </row>
    <row r="7" spans="1:18" ht="12.75" customHeight="1" x14ac:dyDescent="0.25">
      <c r="A7" s="416" t="s">
        <v>108</v>
      </c>
      <c r="B7" s="415"/>
      <c r="C7" s="642">
        <f>'C2C'!C7</f>
        <v>4200350.03</v>
      </c>
      <c r="D7" s="670">
        <f>'C2C'!D7</f>
        <v>4447530.0133999996</v>
      </c>
      <c r="E7" s="408">
        <f>'C2C'!E7</f>
        <v>4447530.0133999996</v>
      </c>
      <c r="F7" s="408">
        <f>'C2C'!F7</f>
        <v>610550.21</v>
      </c>
      <c r="G7" s="408">
        <f>'C2C'!G7</f>
        <v>3770633.24</v>
      </c>
      <c r="H7" s="408">
        <f>'C2C'!H7</f>
        <v>4076902.5122833331</v>
      </c>
      <c r="I7" s="47">
        <f t="shared" si="1"/>
        <v>-306269.27228333289</v>
      </c>
      <c r="J7" s="200">
        <f t="shared" ref="J7:J26" si="2">IF(I7=0,"",I7/H7)</f>
        <v>-7.5123030624492909E-2</v>
      </c>
      <c r="K7" s="642">
        <f>'C2C'!K7</f>
        <v>4447530.0133999996</v>
      </c>
      <c r="L7" s="100"/>
      <c r="Q7" s="69"/>
      <c r="R7" s="70"/>
    </row>
    <row r="8" spans="1:18" ht="12.75" customHeight="1" x14ac:dyDescent="0.25">
      <c r="A8" s="416" t="s">
        <v>1123</v>
      </c>
      <c r="B8" s="415"/>
      <c r="C8" s="643">
        <f>'C2C'!C10</f>
        <v>1654194234.2399998</v>
      </c>
      <c r="D8" s="671">
        <f>'C2C'!D10</f>
        <v>1567890972.3041158</v>
      </c>
      <c r="E8" s="672">
        <f>'C2C'!E10</f>
        <v>1656888972.3041158</v>
      </c>
      <c r="F8" s="672">
        <f>'C2C'!F10</f>
        <v>91798776.909999982</v>
      </c>
      <c r="G8" s="672">
        <f>'C2C'!G10</f>
        <v>1568206668.5599999</v>
      </c>
      <c r="H8" s="672">
        <f>'C2C'!H10</f>
        <v>1518814891.2787731</v>
      </c>
      <c r="I8" s="47">
        <f t="shared" si="1"/>
        <v>49391777.281226873</v>
      </c>
      <c r="J8" s="200">
        <f t="shared" si="2"/>
        <v>3.2519945363217527E-2</v>
      </c>
      <c r="K8" s="673">
        <f>'C2C'!K10</f>
        <v>1656888972.3041158</v>
      </c>
      <c r="L8" s="100"/>
      <c r="Q8" s="69"/>
      <c r="R8" s="70"/>
    </row>
    <row r="9" spans="1:18" ht="12.75" customHeight="1" x14ac:dyDescent="0.25">
      <c r="A9" s="416" t="s">
        <v>1134</v>
      </c>
      <c r="B9" s="415"/>
      <c r="C9" s="642">
        <f>'C2C'!C24</f>
        <v>34.9</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155266538.72</v>
      </c>
      <c r="D10" s="669">
        <f t="shared" si="3"/>
        <v>369251054.47721577</v>
      </c>
      <c r="E10" s="637">
        <f t="shared" si="3"/>
        <v>421154744.47721577</v>
      </c>
      <c r="F10" s="637">
        <f t="shared" si="3"/>
        <v>22917835.25</v>
      </c>
      <c r="G10" s="637">
        <f t="shared" si="3"/>
        <v>132502111.03</v>
      </c>
      <c r="H10" s="637">
        <f t="shared" si="3"/>
        <v>386058515.77078116</v>
      </c>
      <c r="I10" s="47">
        <f t="shared" si="1"/>
        <v>-253556404.74078116</v>
      </c>
      <c r="J10" s="200">
        <f t="shared" si="2"/>
        <v>-0.65678231248065</v>
      </c>
      <c r="K10" s="641">
        <f>SUM(K11:K15)</f>
        <v>421154744.47721577</v>
      </c>
      <c r="L10" s="100"/>
      <c r="Q10" s="69"/>
      <c r="R10" s="70"/>
    </row>
    <row r="11" spans="1:18" ht="12.75" customHeight="1" x14ac:dyDescent="0.25">
      <c r="A11" s="416" t="s">
        <v>110</v>
      </c>
      <c r="B11" s="415"/>
      <c r="C11" s="642">
        <f>'C2C'!C27</f>
        <v>38829586.050000004</v>
      </c>
      <c r="D11" s="670">
        <f>'C2C'!D27</f>
        <v>26242986.682700001</v>
      </c>
      <c r="E11" s="408">
        <f>'C2C'!E27</f>
        <v>26648021.682700001</v>
      </c>
      <c r="F11" s="408">
        <f>'C2C'!F27</f>
        <v>1379546.81</v>
      </c>
      <c r="G11" s="408">
        <f>'C2C'!G27</f>
        <v>22998678.169999998</v>
      </c>
      <c r="H11" s="408">
        <f>'C2C'!H27</f>
        <v>24427353.209141668</v>
      </c>
      <c r="I11" s="47">
        <f t="shared" si="1"/>
        <v>-1428675.0391416699</v>
      </c>
      <c r="J11" s="200">
        <f t="shared" si="2"/>
        <v>-5.848669018332301E-2</v>
      </c>
      <c r="K11" s="642">
        <f>'C2C'!K27</f>
        <v>26648021.682700001</v>
      </c>
      <c r="L11" s="100"/>
      <c r="Q11" s="69"/>
      <c r="R11" s="70"/>
    </row>
    <row r="12" spans="1:18" ht="12.75" customHeight="1" x14ac:dyDescent="0.25">
      <c r="A12" s="416" t="s">
        <v>111</v>
      </c>
      <c r="B12" s="415"/>
      <c r="C12" s="642">
        <f>'C2C'!C49</f>
        <v>693112.67</v>
      </c>
      <c r="D12" s="670">
        <f>'C2C'!D49</f>
        <v>11002054.78726843</v>
      </c>
      <c r="E12" s="408">
        <f>'C2C'!E49</f>
        <v>11002054.78726843</v>
      </c>
      <c r="F12" s="408">
        <f>'C2C'!F49</f>
        <v>33252.67</v>
      </c>
      <c r="G12" s="408">
        <f>'C2C'!G49</f>
        <v>360364.83</v>
      </c>
      <c r="H12" s="408">
        <f>'C2C'!H49</f>
        <v>10085216.888329394</v>
      </c>
      <c r="I12" s="47">
        <f t="shared" si="1"/>
        <v>-9724852.0583293941</v>
      </c>
      <c r="J12" s="200">
        <f t="shared" si="2"/>
        <v>-0.96426801386720662</v>
      </c>
      <c r="K12" s="642">
        <f>'C2C'!K49</f>
        <v>11002054.78726843</v>
      </c>
      <c r="L12" s="100"/>
      <c r="Q12" s="69"/>
      <c r="R12" s="70"/>
    </row>
    <row r="13" spans="1:18" ht="12.75" customHeight="1" x14ac:dyDescent="0.25">
      <c r="A13" s="416" t="s">
        <v>112</v>
      </c>
      <c r="B13" s="415"/>
      <c r="C13" s="642">
        <f>'C2C'!C55</f>
        <v>15024987.17</v>
      </c>
      <c r="D13" s="670">
        <f>'C2C'!D55</f>
        <v>3768735.4638999999</v>
      </c>
      <c r="E13" s="408">
        <f>'C2C'!E55</f>
        <v>3768735.4638999999</v>
      </c>
      <c r="F13" s="408">
        <f>'C2C'!F55</f>
        <v>16826344.120000001</v>
      </c>
      <c r="G13" s="408">
        <f>'C2C'!G55</f>
        <v>28884228.519999996</v>
      </c>
      <c r="H13" s="408">
        <f>'C2C'!H55</f>
        <v>3454674.1752416668</v>
      </c>
      <c r="I13" s="47">
        <f t="shared" si="1"/>
        <v>25429554.344758328</v>
      </c>
      <c r="J13" s="200">
        <f t="shared" si="2"/>
        <v>7.3609125071771606</v>
      </c>
      <c r="K13" s="642">
        <f>'C2C'!K55</f>
        <v>3768735.4638999999</v>
      </c>
      <c r="L13" s="100"/>
      <c r="Q13" s="69"/>
      <c r="R13" s="70"/>
    </row>
    <row r="14" spans="1:18" ht="12.75" customHeight="1" x14ac:dyDescent="0.25">
      <c r="A14" s="416" t="s">
        <v>711</v>
      </c>
      <c r="B14" s="415"/>
      <c r="C14" s="642">
        <f>'C2C'!C64</f>
        <v>100718852.83</v>
      </c>
      <c r="D14" s="670">
        <f>'C2C'!D64</f>
        <v>328237277.54334736</v>
      </c>
      <c r="E14" s="408">
        <f>'C2C'!E64</f>
        <v>379735932.54334736</v>
      </c>
      <c r="F14" s="408">
        <f>'C2C'!F64</f>
        <v>4678691.6500000004</v>
      </c>
      <c r="G14" s="408">
        <f>'C2C'!G64</f>
        <v>80258839.510000005</v>
      </c>
      <c r="H14" s="408">
        <f>'C2C'!H64</f>
        <v>348091271.49806845</v>
      </c>
      <c r="I14" s="47">
        <f t="shared" ref="I14:I19" si="4">G14-H14</f>
        <v>-267832431.98806846</v>
      </c>
      <c r="J14" s="200">
        <f t="shared" ref="J14:J19" si="5">IF(I14=0,"",I14/H14)</f>
        <v>-0.7694316230206153</v>
      </c>
      <c r="K14" s="642">
        <f>'C2C'!K64</f>
        <v>379735932.54334736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273241464.56</v>
      </c>
      <c r="D16" s="669">
        <f t="shared" si="6"/>
        <v>106923434.37381519</v>
      </c>
      <c r="E16" s="637">
        <f t="shared" si="6"/>
        <v>109927537.37381519</v>
      </c>
      <c r="F16" s="637">
        <f t="shared" si="6"/>
        <v>17352090.48</v>
      </c>
      <c r="G16" s="637">
        <f t="shared" si="6"/>
        <v>214480072.25999999</v>
      </c>
      <c r="H16" s="637">
        <f t="shared" si="6"/>
        <v>100766909.2593306</v>
      </c>
      <c r="I16" s="47">
        <f t="shared" si="4"/>
        <v>113713163.00066939</v>
      </c>
      <c r="J16" s="200">
        <f t="shared" si="5"/>
        <v>1.1284772336126805</v>
      </c>
      <c r="K16" s="641">
        <f>SUM(K17:K19)</f>
        <v>109927537.37381519</v>
      </c>
      <c r="L16" s="100"/>
      <c r="Q16" s="69"/>
      <c r="R16" s="70"/>
    </row>
    <row r="17" spans="1:18" ht="12.75" customHeight="1" x14ac:dyDescent="0.25">
      <c r="A17" s="416" t="s">
        <v>114</v>
      </c>
      <c r="B17" s="415"/>
      <c r="C17" s="642">
        <f>'C2C'!C76</f>
        <v>33595749.049999997</v>
      </c>
      <c r="D17" s="670">
        <f>'C2C'!D76</f>
        <v>41022287.158399999</v>
      </c>
      <c r="E17" s="408">
        <f>'C2C'!E76</f>
        <v>44026390.158399999</v>
      </c>
      <c r="F17" s="408">
        <f>'C2C'!F76</f>
        <v>2074671.69</v>
      </c>
      <c r="G17" s="408">
        <f>'C2C'!G76</f>
        <v>10558172.859999999</v>
      </c>
      <c r="H17" s="408">
        <f>'C2C'!H76</f>
        <v>40357524.311866663</v>
      </c>
      <c r="I17" s="47">
        <f t="shared" si="4"/>
        <v>-29799351.451866664</v>
      </c>
      <c r="J17" s="200">
        <f t="shared" si="5"/>
        <v>-0.73838403023905286</v>
      </c>
      <c r="K17" s="642">
        <f>'C2C'!K76</f>
        <v>44026390.158399999</v>
      </c>
      <c r="L17" s="100"/>
      <c r="Q17" s="69"/>
      <c r="R17" s="70"/>
    </row>
    <row r="18" spans="1:18" ht="12.75" customHeight="1" x14ac:dyDescent="0.25">
      <c r="A18" s="416" t="s">
        <v>115</v>
      </c>
      <c r="B18" s="415"/>
      <c r="C18" s="642">
        <f>'C2C'!C87</f>
        <v>239601710.63</v>
      </c>
      <c r="D18" s="670">
        <f>'C2C'!D87</f>
        <v>65792799.755315199</v>
      </c>
      <c r="E18" s="408">
        <f>'C2C'!E87</f>
        <v>65792799.755315199</v>
      </c>
      <c r="F18" s="408">
        <f>'C2C'!F87</f>
        <v>15253618.790000001</v>
      </c>
      <c r="G18" s="408">
        <f>'C2C'!G87</f>
        <v>203853099.39999998</v>
      </c>
      <c r="H18" s="408">
        <f>'C2C'!H87</f>
        <v>60310066.442372262</v>
      </c>
      <c r="I18" s="47">
        <f t="shared" si="4"/>
        <v>143543032.95762771</v>
      </c>
      <c r="J18" s="200">
        <f t="shared" si="5"/>
        <v>2.3800841455677482</v>
      </c>
      <c r="K18" s="642">
        <f>'C2C'!K87</f>
        <v>65792799.755315199</v>
      </c>
      <c r="L18" s="100"/>
      <c r="Q18" s="69"/>
      <c r="R18" s="70"/>
    </row>
    <row r="19" spans="1:18" ht="12.75" customHeight="1" x14ac:dyDescent="0.25">
      <c r="A19" s="416" t="s">
        <v>116</v>
      </c>
      <c r="B19" s="415"/>
      <c r="C19" s="642">
        <f>'C2C'!C92</f>
        <v>44004.88</v>
      </c>
      <c r="D19" s="670">
        <f>'C2C'!D92</f>
        <v>108347.4601</v>
      </c>
      <c r="E19" s="408">
        <f>'C2C'!E92</f>
        <v>108347.4601</v>
      </c>
      <c r="F19" s="408">
        <f>'C2C'!F92</f>
        <v>23800</v>
      </c>
      <c r="G19" s="408">
        <f>'C2C'!G92</f>
        <v>68800</v>
      </c>
      <c r="H19" s="408">
        <f>'C2C'!H92</f>
        <v>99318.505091666651</v>
      </c>
      <c r="I19" s="47">
        <f t="shared" si="4"/>
        <v>-30518.505091666651</v>
      </c>
      <c r="J19" s="200">
        <f t="shared" si="5"/>
        <v>-0.30727914262804701</v>
      </c>
      <c r="K19" s="642">
        <f>'C2C'!K92</f>
        <v>108347.4601</v>
      </c>
      <c r="L19" s="100"/>
      <c r="Q19" s="69"/>
      <c r="R19" s="70"/>
    </row>
    <row r="20" spans="1:18" ht="12.75" customHeight="1" x14ac:dyDescent="0.25">
      <c r="A20" s="414" t="s">
        <v>117</v>
      </c>
      <c r="B20" s="417"/>
      <c r="C20" s="641">
        <f>SUM(C21:C24)</f>
        <v>3670460355.04</v>
      </c>
      <c r="D20" s="669">
        <f t="shared" ref="D20:I20" si="7">SUM(D21:D24)</f>
        <v>4331953791.0175152</v>
      </c>
      <c r="E20" s="637">
        <f t="shared" si="7"/>
        <v>4331577947.017518</v>
      </c>
      <c r="F20" s="637">
        <f t="shared" si="7"/>
        <v>294625364.13</v>
      </c>
      <c r="G20" s="637">
        <f t="shared" si="7"/>
        <v>3643610158.75</v>
      </c>
      <c r="H20" s="637">
        <f t="shared" si="7"/>
        <v>3970613118.0993919</v>
      </c>
      <c r="I20" s="47">
        <f t="shared" si="7"/>
        <v>-327002959.34939134</v>
      </c>
      <c r="J20" s="200">
        <f t="shared" si="2"/>
        <v>-8.2355784767546777E-2</v>
      </c>
      <c r="K20" s="641">
        <f>SUM(K21:K24)</f>
        <v>4331577947.017518</v>
      </c>
      <c r="L20" s="100"/>
      <c r="Q20" s="69"/>
      <c r="R20" s="70"/>
    </row>
    <row r="21" spans="1:18" ht="12.75" customHeight="1" x14ac:dyDescent="0.25">
      <c r="A21" s="416" t="s">
        <v>1191</v>
      </c>
      <c r="B21" s="415"/>
      <c r="C21" s="642">
        <f>'C2C'!C100</f>
        <v>2209984732.46</v>
      </c>
      <c r="D21" s="670">
        <f>'C2C'!D100</f>
        <v>2655002808.9206858</v>
      </c>
      <c r="E21" s="408">
        <f>'C2C'!E100</f>
        <v>2655002808.9206858</v>
      </c>
      <c r="F21" s="408">
        <f>'C2C'!F100</f>
        <v>180551431.43000001</v>
      </c>
      <c r="G21" s="408">
        <f>'C2C'!G100</f>
        <v>2148302404.7800002</v>
      </c>
      <c r="H21" s="408">
        <f>'C2C'!H100</f>
        <v>2433752574.8439617</v>
      </c>
      <c r="I21" s="47">
        <f>G21-H21</f>
        <v>-285450170.06396151</v>
      </c>
      <c r="J21" s="200">
        <f t="shared" si="2"/>
        <v>-0.11728808138282625</v>
      </c>
      <c r="K21" s="642">
        <f>'C2C'!K100</f>
        <v>2655002808.9206858</v>
      </c>
      <c r="L21" s="100"/>
      <c r="Q21" s="69"/>
      <c r="R21" s="70"/>
    </row>
    <row r="22" spans="1:18" ht="12.75" customHeight="1" x14ac:dyDescent="0.25">
      <c r="A22" s="416" t="s">
        <v>1195</v>
      </c>
      <c r="B22" s="415"/>
      <c r="C22" s="642">
        <f>'C2C'!C104</f>
        <v>1060295199.26</v>
      </c>
      <c r="D22" s="670">
        <f>'C2C'!D104</f>
        <v>1253549994.0011687</v>
      </c>
      <c r="E22" s="408">
        <f>'C2C'!E104</f>
        <v>1253174150.0011718</v>
      </c>
      <c r="F22" s="408">
        <f>'C2C'!F104</f>
        <v>72248705.030000001</v>
      </c>
      <c r="G22" s="408">
        <f>'C2C'!G104</f>
        <v>1081534112.97</v>
      </c>
      <c r="H22" s="408">
        <f>'C2C'!H104</f>
        <v>1148742970.8344076</v>
      </c>
      <c r="I22" s="47">
        <f>G22-H22</f>
        <v>-67208857.864407539</v>
      </c>
      <c r="J22" s="200">
        <f t="shared" si="2"/>
        <v>-5.8506436662319097E-2</v>
      </c>
      <c r="K22" s="642">
        <f>'C2C'!K104</f>
        <v>1253174150.0011718</v>
      </c>
      <c r="L22" s="100"/>
      <c r="Q22" s="69"/>
      <c r="R22" s="70"/>
    </row>
    <row r="23" spans="1:18" ht="12.75" customHeight="1" x14ac:dyDescent="0.25">
      <c r="A23" s="416" t="s">
        <v>118</v>
      </c>
      <c r="B23" s="415"/>
      <c r="C23" s="643">
        <f>'C2C'!C108</f>
        <v>254352471.68000001</v>
      </c>
      <c r="D23" s="671">
        <f>'C2C'!D108</f>
        <v>173542219.90182328</v>
      </c>
      <c r="E23" s="672">
        <f>'C2C'!E108</f>
        <v>173542219.90182328</v>
      </c>
      <c r="F23" s="672">
        <f>'C2C'!F108</f>
        <v>30945765.359999999</v>
      </c>
      <c r="G23" s="672">
        <f>'C2C'!G108</f>
        <v>268826930.92000002</v>
      </c>
      <c r="H23" s="672">
        <f>'C2C'!H108</f>
        <v>159080368.24333799</v>
      </c>
      <c r="I23" s="47">
        <f>G23-H23</f>
        <v>109746562.67666203</v>
      </c>
      <c r="J23" s="200">
        <f t="shared" si="2"/>
        <v>0.68988124611823698</v>
      </c>
      <c r="K23" s="673">
        <f>'C2C'!K108</f>
        <v>173542219.90182328</v>
      </c>
      <c r="L23" s="100"/>
      <c r="Q23" s="69"/>
      <c r="R23" s="70"/>
    </row>
    <row r="24" spans="1:18" ht="12.75" customHeight="1" x14ac:dyDescent="0.25">
      <c r="A24" s="416" t="s">
        <v>119</v>
      </c>
      <c r="B24" s="415"/>
      <c r="C24" s="642">
        <f>'C2C'!C113</f>
        <v>145827951.64000002</v>
      </c>
      <c r="D24" s="670">
        <f>'C2C'!D113</f>
        <v>249858768.1938374</v>
      </c>
      <c r="E24" s="408">
        <f>'C2C'!E113</f>
        <v>249858768.1938374</v>
      </c>
      <c r="F24" s="408">
        <f>'C2C'!F113</f>
        <v>10879462.310000001</v>
      </c>
      <c r="G24" s="408">
        <f>'C2C'!G113</f>
        <v>144946710.07999998</v>
      </c>
      <c r="H24" s="408">
        <f>'C2C'!H113</f>
        <v>229037204.17768428</v>
      </c>
      <c r="I24" s="47">
        <f>G24-H24</f>
        <v>-84090494.097684294</v>
      </c>
      <c r="J24" s="200">
        <f t="shared" si="2"/>
        <v>-0.36714774964004498</v>
      </c>
      <c r="K24" s="642">
        <f>'C2C'!K113</f>
        <v>249858768.1938374</v>
      </c>
      <c r="L24" s="100"/>
      <c r="Q24" s="69"/>
      <c r="R24" s="70"/>
    </row>
    <row r="25" spans="1:18" ht="12.75" customHeight="1" x14ac:dyDescent="0.25">
      <c r="A25" s="414" t="s">
        <v>718</v>
      </c>
      <c r="B25" s="417">
        <v>4</v>
      </c>
      <c r="C25" s="641">
        <f>'C2C'!C118</f>
        <v>32681201.210000001</v>
      </c>
      <c r="D25" s="669">
        <f>'C2C'!D118</f>
        <v>63610900.686000004</v>
      </c>
      <c r="E25" s="637">
        <f>'C2C'!E118</f>
        <v>63610900.686000004</v>
      </c>
      <c r="F25" s="637">
        <f>'C2C'!F118</f>
        <v>2119457.02</v>
      </c>
      <c r="G25" s="637">
        <f>'C2C'!G118</f>
        <v>25790587.219999999</v>
      </c>
      <c r="H25" s="637">
        <f>'C2C'!H118</f>
        <v>58309992.29550001</v>
      </c>
      <c r="I25" s="102">
        <f>G25-H25</f>
        <v>-32519405.075500011</v>
      </c>
      <c r="J25" s="713">
        <f t="shared" si="2"/>
        <v>-0.55769866870672957</v>
      </c>
      <c r="K25" s="641">
        <f>'C2C'!K118</f>
        <v>63610900.686000004</v>
      </c>
      <c r="L25" s="100"/>
      <c r="Q25" s="69"/>
      <c r="R25" s="70"/>
    </row>
    <row r="26" spans="1:18" ht="12.75" customHeight="1" x14ac:dyDescent="0.25">
      <c r="A26" s="92" t="s">
        <v>1208</v>
      </c>
      <c r="B26" s="585">
        <v>2</v>
      </c>
      <c r="C26" s="644">
        <f>C6+C10+C16+C20+C25</f>
        <v>5790044178.6999998</v>
      </c>
      <c r="D26" s="598">
        <f t="shared" ref="D26:I26" si="8">D6+D10+D16+D20+D25</f>
        <v>6444077682.8720617</v>
      </c>
      <c r="E26" s="545">
        <f t="shared" si="8"/>
        <v>6587607631.8720646</v>
      </c>
      <c r="F26" s="545">
        <f t="shared" si="8"/>
        <v>429424073.99999994</v>
      </c>
      <c r="G26" s="545">
        <f t="shared" si="8"/>
        <v>5588360231.0600004</v>
      </c>
      <c r="H26" s="545">
        <f t="shared" si="8"/>
        <v>6038640329.2160597</v>
      </c>
      <c r="I26" s="545">
        <f t="shared" si="8"/>
        <v>-450280098.15605956</v>
      </c>
      <c r="J26" s="599">
        <f t="shared" si="2"/>
        <v>-7.4566470862243786E-2</v>
      </c>
      <c r="K26" s="597">
        <f>K6+K10+K16+K20+K25</f>
        <v>6587607631.8720646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1041450363.4499996</v>
      </c>
      <c r="D29" s="669">
        <f t="shared" si="9"/>
        <v>1354264744.2416518</v>
      </c>
      <c r="E29" s="637">
        <f t="shared" si="9"/>
        <v>1405319174.0330372</v>
      </c>
      <c r="F29" s="637">
        <f t="shared" si="9"/>
        <v>108421297.96000007</v>
      </c>
      <c r="G29" s="637">
        <f t="shared" si="9"/>
        <v>916529466.54999983</v>
      </c>
      <c r="H29" s="637">
        <f t="shared" si="9"/>
        <v>1288209242.8636174</v>
      </c>
      <c r="I29" s="47">
        <f t="shared" ref="I29:I48" si="10">G29-H29</f>
        <v>-371679776.31361759</v>
      </c>
      <c r="J29" s="200">
        <f>IF(I29=0,"",I29/H29)</f>
        <v>-0.28852438248882156</v>
      </c>
      <c r="K29" s="641">
        <f>SUM(K30:K32)</f>
        <v>1405319174.0330372</v>
      </c>
      <c r="L29" s="100"/>
      <c r="Q29" s="69"/>
    </row>
    <row r="30" spans="1:18" ht="12.75" customHeight="1" x14ac:dyDescent="0.25">
      <c r="A30" s="416" t="s">
        <v>108</v>
      </c>
      <c r="B30" s="428"/>
      <c r="C30" s="642">
        <f>'C2C'!C129</f>
        <v>123578808.51000004</v>
      </c>
      <c r="D30" s="670">
        <f>'C2C'!D129</f>
        <v>137732466.40184778</v>
      </c>
      <c r="E30" s="408">
        <f>'C2C'!E129</f>
        <v>138609982.7278536</v>
      </c>
      <c r="F30" s="408">
        <f>'C2C'!F129</f>
        <v>8949918.9199999999</v>
      </c>
      <c r="G30" s="408">
        <f>'C2C'!G129</f>
        <v>94458865.039999992</v>
      </c>
      <c r="H30" s="408">
        <f>'C2C'!H129</f>
        <v>127059150.83386579</v>
      </c>
      <c r="I30" s="47">
        <f t="shared" si="10"/>
        <v>-32600285.7938658</v>
      </c>
      <c r="J30" s="200">
        <f t="shared" ref="J30:J49" si="11">IF(I30=0,"",I30/H30)</f>
        <v>-0.25657566243687396</v>
      </c>
      <c r="K30" s="642">
        <f>'C2C'!K129</f>
        <v>138609982.7278536</v>
      </c>
      <c r="L30" s="100"/>
      <c r="Q30" s="69"/>
    </row>
    <row r="31" spans="1:18" ht="12.75" customHeight="1" x14ac:dyDescent="0.25">
      <c r="A31" s="416" t="s">
        <v>1123</v>
      </c>
      <c r="B31" s="428"/>
      <c r="C31" s="643">
        <f>'C2C'!C132</f>
        <v>899233616.65999961</v>
      </c>
      <c r="D31" s="671">
        <f>'C2C'!D132</f>
        <v>1194545745.0547059</v>
      </c>
      <c r="E31" s="672">
        <f>'C2C'!E132</f>
        <v>1244452658.5200856</v>
      </c>
      <c r="F31" s="672">
        <f>'C2C'!F132</f>
        <v>97523789.190000072</v>
      </c>
      <c r="G31" s="672">
        <f>'C2C'!G132</f>
        <v>807169688.28999984</v>
      </c>
      <c r="H31" s="672">
        <f>'C2C'!H132</f>
        <v>1140748270.3100784</v>
      </c>
      <c r="I31" s="47">
        <f t="shared" si="10"/>
        <v>-333578582.02007854</v>
      </c>
      <c r="J31" s="200">
        <f t="shared" si="11"/>
        <v>-0.29242085278762259</v>
      </c>
      <c r="K31" s="673">
        <f>'C2C'!K132</f>
        <v>1244452658.5200856</v>
      </c>
      <c r="L31" s="100"/>
      <c r="Q31" s="69"/>
    </row>
    <row r="32" spans="1:18" ht="12.75" customHeight="1" x14ac:dyDescent="0.25">
      <c r="A32" s="416" t="s">
        <v>1134</v>
      </c>
      <c r="B32" s="428"/>
      <c r="C32" s="642">
        <f>'C2C'!C146</f>
        <v>18637938.279999994</v>
      </c>
      <c r="D32" s="670">
        <f>'C2C'!D146</f>
        <v>21986532.785097998</v>
      </c>
      <c r="E32" s="408">
        <f>'C2C'!E146</f>
        <v>22256532.785097998</v>
      </c>
      <c r="F32" s="408">
        <f>'C2C'!F146</f>
        <v>1947589.8499999996</v>
      </c>
      <c r="G32" s="408">
        <f>'C2C'!G146</f>
        <v>14900913.219999993</v>
      </c>
      <c r="H32" s="408">
        <f>'C2C'!H146</f>
        <v>20401821.719673164</v>
      </c>
      <c r="I32" s="47">
        <f t="shared" si="10"/>
        <v>-5500908.499673171</v>
      </c>
      <c r="J32" s="200">
        <f t="shared" si="11"/>
        <v>-0.26962829963212204</v>
      </c>
      <c r="K32" s="642">
        <f>'C2C'!K146</f>
        <v>22256532.785097998</v>
      </c>
      <c r="L32" s="100"/>
      <c r="Q32" s="69"/>
    </row>
    <row r="33" spans="1:17" ht="12.75" customHeight="1" x14ac:dyDescent="0.25">
      <c r="A33" s="414" t="s">
        <v>109</v>
      </c>
      <c r="B33" s="428"/>
      <c r="C33" s="641">
        <f t="shared" ref="C33:H33" si="12">SUM(C34:C38)</f>
        <v>472238040.56</v>
      </c>
      <c r="D33" s="669">
        <f t="shared" si="12"/>
        <v>440067727.15977156</v>
      </c>
      <c r="E33" s="637">
        <f t="shared" si="12"/>
        <v>533334006.71673155</v>
      </c>
      <c r="F33" s="637">
        <f t="shared" si="12"/>
        <v>43555741.819999985</v>
      </c>
      <c r="G33" s="637">
        <f t="shared" si="12"/>
        <v>501685756.44999993</v>
      </c>
      <c r="H33" s="637">
        <f t="shared" si="12"/>
        <v>488889506.15700388</v>
      </c>
      <c r="I33" s="47">
        <f t="shared" si="10"/>
        <v>12796250.292996049</v>
      </c>
      <c r="J33" s="200">
        <f t="shared" si="11"/>
        <v>2.6174115279305282E-2</v>
      </c>
      <c r="K33" s="641">
        <f>SUM(K34:K38)</f>
        <v>533334006.71673155</v>
      </c>
      <c r="L33" s="100"/>
      <c r="Q33" s="69"/>
    </row>
    <row r="34" spans="1:17" ht="12.75" customHeight="1" x14ac:dyDescent="0.25">
      <c r="A34" s="416" t="s">
        <v>110</v>
      </c>
      <c r="B34" s="428"/>
      <c r="C34" s="642">
        <f>'C2C'!C149</f>
        <v>113129414.60000002</v>
      </c>
      <c r="D34" s="670">
        <f>'C2C'!D149</f>
        <v>128373725.79885694</v>
      </c>
      <c r="E34" s="408">
        <f>'C2C'!E149</f>
        <v>130889937.79885694</v>
      </c>
      <c r="F34" s="408">
        <f>'C2C'!F149</f>
        <v>10890163.569999998</v>
      </c>
      <c r="G34" s="408">
        <f>'C2C'!G149</f>
        <v>140600849.71000001</v>
      </c>
      <c r="H34" s="408">
        <f>'C2C'!H149</f>
        <v>119982442.98228553</v>
      </c>
      <c r="I34" s="47">
        <f t="shared" si="10"/>
        <v>20618406.727714479</v>
      </c>
      <c r="J34" s="200">
        <f t="shared" si="11"/>
        <v>0.17184519847423532</v>
      </c>
      <c r="K34" s="642">
        <f>'C2C'!K149</f>
        <v>130889937.79885694</v>
      </c>
      <c r="L34" s="100"/>
      <c r="Q34" s="69"/>
    </row>
    <row r="35" spans="1:17" ht="12.75" customHeight="1" x14ac:dyDescent="0.25">
      <c r="A35" s="416" t="s">
        <v>111</v>
      </c>
      <c r="B35" s="428"/>
      <c r="C35" s="642">
        <f>'C2C'!C171</f>
        <v>102369147.31999999</v>
      </c>
      <c r="D35" s="670">
        <f>'C2C'!D171</f>
        <v>114418472.68896006</v>
      </c>
      <c r="E35" s="408">
        <f>'C2C'!E171</f>
        <v>114548472.68896006</v>
      </c>
      <c r="F35" s="408">
        <f>'C2C'!F171</f>
        <v>10606319.809999999</v>
      </c>
      <c r="G35" s="408">
        <f>'C2C'!G171</f>
        <v>111885488.00999996</v>
      </c>
      <c r="H35" s="408">
        <f>'C2C'!H171</f>
        <v>105002766.63154672</v>
      </c>
      <c r="I35" s="47">
        <f t="shared" si="10"/>
        <v>6882721.3784532398</v>
      </c>
      <c r="J35" s="200">
        <f t="shared" si="11"/>
        <v>6.5548000297978956E-2</v>
      </c>
      <c r="K35" s="642">
        <f>'C2C'!K171</f>
        <v>114548472.68896006</v>
      </c>
      <c r="L35" s="100"/>
      <c r="Q35" s="69"/>
    </row>
    <row r="36" spans="1:17" ht="12.75" customHeight="1" x14ac:dyDescent="0.25">
      <c r="A36" s="416" t="s">
        <v>112</v>
      </c>
      <c r="B36" s="426"/>
      <c r="C36" s="642">
        <f>'C2C'!C177</f>
        <v>193214425.33999997</v>
      </c>
      <c r="D36" s="670">
        <f>'C2C'!D177</f>
        <v>106871795.2822189</v>
      </c>
      <c r="E36" s="408">
        <f>'C2C'!E177</f>
        <v>140511795.83917889</v>
      </c>
      <c r="F36" s="408">
        <f>'C2C'!F177</f>
        <v>15075447.199999992</v>
      </c>
      <c r="G36" s="408">
        <f>'C2C'!G177</f>
        <v>179214015.93999997</v>
      </c>
      <c r="H36" s="408">
        <f>'C2C'!H177</f>
        <v>128802479.51924732</v>
      </c>
      <c r="I36" s="47">
        <f t="shared" si="10"/>
        <v>50411536.420752645</v>
      </c>
      <c r="J36" s="200">
        <f t="shared" si="11"/>
        <v>0.39138638175998391</v>
      </c>
      <c r="K36" s="642">
        <f>'C2C'!K177</f>
        <v>140511795.83917889</v>
      </c>
      <c r="L36" s="100"/>
      <c r="Q36" s="70"/>
    </row>
    <row r="37" spans="1:17" ht="12.75" customHeight="1" x14ac:dyDescent="0.25">
      <c r="A37" s="416" t="s">
        <v>711</v>
      </c>
      <c r="B37" s="426"/>
      <c r="C37" s="642">
        <f>'C2C'!C186</f>
        <v>58055817.759999983</v>
      </c>
      <c r="D37" s="670">
        <f>'C2C'!D186</f>
        <v>90129848.361797929</v>
      </c>
      <c r="E37" s="408">
        <f>'C2C'!E186</f>
        <v>147109915.36179793</v>
      </c>
      <c r="F37" s="408">
        <f>'C2C'!F186</f>
        <v>6241092.6700000009</v>
      </c>
      <c r="G37" s="408">
        <f>'C2C'!G186</f>
        <v>61316246.139999986</v>
      </c>
      <c r="H37" s="408">
        <f>'C2C'!H186</f>
        <v>134850755.74831477</v>
      </c>
      <c r="I37" s="47">
        <f t="shared" si="10"/>
        <v>-73534509.608314782</v>
      </c>
      <c r="J37" s="200">
        <f t="shared" si="11"/>
        <v>-0.54530291061593661</v>
      </c>
      <c r="K37" s="642">
        <f>'C2C'!K186</f>
        <v>147109915.36179793</v>
      </c>
      <c r="L37" s="100"/>
      <c r="Q37" s="70"/>
    </row>
    <row r="38" spans="1:17" ht="12.75" customHeight="1" x14ac:dyDescent="0.25">
      <c r="A38" s="416" t="s">
        <v>610</v>
      </c>
      <c r="B38" s="426"/>
      <c r="C38" s="643">
        <f>'C2C'!C189</f>
        <v>5469235.5399999991</v>
      </c>
      <c r="D38" s="671">
        <f>'C2C'!D189</f>
        <v>273885.02793777513</v>
      </c>
      <c r="E38" s="672">
        <f>'C2C'!E189</f>
        <v>273885.02793777513</v>
      </c>
      <c r="F38" s="672">
        <f>'C2C'!F189</f>
        <v>742718.57</v>
      </c>
      <c r="G38" s="672">
        <f>'C2C'!G189</f>
        <v>8669156.6500000004</v>
      </c>
      <c r="H38" s="672">
        <f>'C2C'!H189</f>
        <v>251061.27560962719</v>
      </c>
      <c r="I38" s="47">
        <f t="shared" si="10"/>
        <v>8418095.374390373</v>
      </c>
      <c r="J38" s="200">
        <f t="shared" si="11"/>
        <v>33.530043030130976</v>
      </c>
      <c r="K38" s="673">
        <f>'C2C'!K189</f>
        <v>273885.02793777513</v>
      </c>
      <c r="L38" s="100"/>
      <c r="Q38" s="70"/>
    </row>
    <row r="39" spans="1:17" ht="12.75" customHeight="1" x14ac:dyDescent="0.25">
      <c r="A39" s="414" t="s">
        <v>113</v>
      </c>
      <c r="B39" s="426"/>
      <c r="C39" s="641">
        <f t="shared" ref="C39:H39" si="13">SUM(C40:C42)</f>
        <v>326641282.88000005</v>
      </c>
      <c r="D39" s="669">
        <f t="shared" si="13"/>
        <v>288173315.58344549</v>
      </c>
      <c r="E39" s="637">
        <f t="shared" si="13"/>
        <v>294605680.61754364</v>
      </c>
      <c r="F39" s="637">
        <f t="shared" si="13"/>
        <v>28803047.920000002</v>
      </c>
      <c r="G39" s="637">
        <f t="shared" si="13"/>
        <v>297043862.05999994</v>
      </c>
      <c r="H39" s="637">
        <f t="shared" si="13"/>
        <v>270055207.23274827</v>
      </c>
      <c r="I39" s="47">
        <f t="shared" si="10"/>
        <v>26988654.827251673</v>
      </c>
      <c r="J39" s="200">
        <f t="shared" si="11"/>
        <v>9.9937546488379256E-2</v>
      </c>
      <c r="K39" s="641">
        <f>SUM(K40:K42)</f>
        <v>294605680.61754364</v>
      </c>
      <c r="L39" s="100"/>
      <c r="Q39" s="70"/>
    </row>
    <row r="40" spans="1:17" ht="12.75" customHeight="1" x14ac:dyDescent="0.25">
      <c r="A40" s="416" t="s">
        <v>114</v>
      </c>
      <c r="B40" s="426"/>
      <c r="C40" s="642">
        <f>'C2C'!C198</f>
        <v>83509759.390000015</v>
      </c>
      <c r="D40" s="670">
        <f>'C2C'!D198</f>
        <v>92239503.875528902</v>
      </c>
      <c r="E40" s="408">
        <f>'C2C'!E198</f>
        <v>94069123.875528887</v>
      </c>
      <c r="F40" s="408">
        <f>'C2C'!F198</f>
        <v>6426123.6600000011</v>
      </c>
      <c r="G40" s="408">
        <f>'C2C'!G198</f>
        <v>61183879.950000003</v>
      </c>
      <c r="H40" s="408">
        <f>'C2C'!H198</f>
        <v>86230030.219234824</v>
      </c>
      <c r="I40" s="47">
        <f t="shared" si="10"/>
        <v>-25046150.269234821</v>
      </c>
      <c r="J40" s="200">
        <f t="shared" si="11"/>
        <v>-0.29045739872242238</v>
      </c>
      <c r="K40" s="642">
        <f>'C2C'!K198</f>
        <v>94069123.875528887</v>
      </c>
      <c r="L40" s="100"/>
      <c r="Q40" s="70"/>
    </row>
    <row r="41" spans="1:17" ht="12.75" customHeight="1" x14ac:dyDescent="0.25">
      <c r="A41" s="416" t="s">
        <v>115</v>
      </c>
      <c r="B41" s="426"/>
      <c r="C41" s="642">
        <f>'C2C'!C209</f>
        <v>222698043.43000001</v>
      </c>
      <c r="D41" s="670">
        <f>'C2C'!D209</f>
        <v>171068986.74871668</v>
      </c>
      <c r="E41" s="408">
        <f>'C2C'!E209</f>
        <v>175671731.78281486</v>
      </c>
      <c r="F41" s="408">
        <f>'C2C'!F209</f>
        <v>20288427.610000003</v>
      </c>
      <c r="G41" s="408">
        <f>'C2C'!G209</f>
        <v>216720501.33999997</v>
      </c>
      <c r="H41" s="408">
        <f>'C2C'!H209</f>
        <v>161032420.80091357</v>
      </c>
      <c r="I41" s="47">
        <f t="shared" si="10"/>
        <v>55688080.539086401</v>
      </c>
      <c r="J41" s="200">
        <f t="shared" si="11"/>
        <v>0.34581906092024961</v>
      </c>
      <c r="K41" s="642">
        <f>'C2C'!K209</f>
        <v>175671731.78281486</v>
      </c>
      <c r="L41" s="100"/>
      <c r="Q41" s="70"/>
    </row>
    <row r="42" spans="1:17" ht="12.75" customHeight="1" x14ac:dyDescent="0.25">
      <c r="A42" s="416" t="s">
        <v>116</v>
      </c>
      <c r="B42" s="426"/>
      <c r="C42" s="642">
        <f>'C2C'!C214</f>
        <v>20433480.060000002</v>
      </c>
      <c r="D42" s="670">
        <f>'C2C'!D214</f>
        <v>24864824.959199883</v>
      </c>
      <c r="E42" s="408">
        <f>'C2C'!E214</f>
        <v>24864824.959199883</v>
      </c>
      <c r="F42" s="408">
        <f>'C2C'!F214</f>
        <v>2088496.65</v>
      </c>
      <c r="G42" s="408">
        <f>'C2C'!G214</f>
        <v>19139480.77</v>
      </c>
      <c r="H42" s="408">
        <f>'C2C'!H214</f>
        <v>22792756.212599892</v>
      </c>
      <c r="I42" s="47">
        <f t="shared" si="10"/>
        <v>-3653275.4425998926</v>
      </c>
      <c r="J42" s="200">
        <f t="shared" si="11"/>
        <v>-0.16028230234746041</v>
      </c>
      <c r="K42" s="642">
        <f>'C2C'!K214</f>
        <v>24864824.959199883</v>
      </c>
      <c r="L42" s="100"/>
      <c r="Q42" s="70"/>
    </row>
    <row r="43" spans="1:17" ht="12.75" customHeight="1" x14ac:dyDescent="0.25">
      <c r="A43" s="414" t="s">
        <v>117</v>
      </c>
      <c r="B43" s="426"/>
      <c r="C43" s="641">
        <f>SUM(C44:C47)</f>
        <v>3649462488.5699983</v>
      </c>
      <c r="D43" s="669">
        <f t="shared" ref="D43:I43" si="14">SUM(D44:D47)</f>
        <v>3353046546.6774907</v>
      </c>
      <c r="E43" s="637">
        <f t="shared" si="14"/>
        <v>3358591185.4474902</v>
      </c>
      <c r="F43" s="637">
        <f t="shared" si="14"/>
        <v>208075326.30999997</v>
      </c>
      <c r="G43" s="637">
        <f t="shared" si="14"/>
        <v>3055433231.4400005</v>
      </c>
      <c r="H43" s="637">
        <f t="shared" si="14"/>
        <v>3078708586.6601996</v>
      </c>
      <c r="I43" s="47">
        <f t="shared" si="14"/>
        <v>-23275355.220199034</v>
      </c>
      <c r="J43" s="200">
        <f t="shared" si="11"/>
        <v>-7.56010338914482E-3</v>
      </c>
      <c r="K43" s="641">
        <f>SUM(K44:K47)</f>
        <v>3358591185.4474902</v>
      </c>
      <c r="L43" s="100"/>
      <c r="Q43" s="70"/>
    </row>
    <row r="44" spans="1:17" ht="12.75" customHeight="1" x14ac:dyDescent="0.25">
      <c r="A44" s="416" t="s">
        <v>1191</v>
      </c>
      <c r="B44" s="426"/>
      <c r="C44" s="642">
        <f>'C2C'!C222</f>
        <v>2064060141.4699986</v>
      </c>
      <c r="D44" s="670">
        <f>'C2C'!D222</f>
        <v>2291332272.7237678</v>
      </c>
      <c r="E44" s="408">
        <f>'C2C'!E222</f>
        <v>2205525042.7237678</v>
      </c>
      <c r="F44" s="408">
        <f>'C2C'!F222</f>
        <v>90224944.359999985</v>
      </c>
      <c r="G44" s="408">
        <f>'C2C'!G222</f>
        <v>1888339324.160001</v>
      </c>
      <c r="H44" s="408">
        <f>'C2C'!H222</f>
        <v>2021731289.1634538</v>
      </c>
      <c r="I44" s="47">
        <f t="shared" si="10"/>
        <v>-133391965.00345278</v>
      </c>
      <c r="J44" s="200">
        <f t="shared" si="11"/>
        <v>-6.5979077297976294E-2</v>
      </c>
      <c r="K44" s="642">
        <f>'C2C'!K222</f>
        <v>2205525042.7237678</v>
      </c>
      <c r="L44" s="100"/>
      <c r="Q44" s="70"/>
    </row>
    <row r="45" spans="1:17" ht="12.75" customHeight="1" x14ac:dyDescent="0.25">
      <c r="A45" s="416" t="s">
        <v>1195</v>
      </c>
      <c r="B45" s="426"/>
      <c r="C45" s="642">
        <f>'C2C'!C226</f>
        <v>1207807520.1199999</v>
      </c>
      <c r="D45" s="670">
        <f>'C2C'!D226</f>
        <v>0</v>
      </c>
      <c r="E45" s="408">
        <f>'C2C'!E226</f>
        <v>31023406.77</v>
      </c>
      <c r="F45" s="408">
        <f>'C2C'!F226</f>
        <v>78667101.569999963</v>
      </c>
      <c r="G45" s="408">
        <f>'C2C'!G226</f>
        <v>829007526.06999969</v>
      </c>
      <c r="H45" s="408">
        <f>'C2C'!H226</f>
        <v>28438122.872499999</v>
      </c>
      <c r="I45" s="47">
        <f t="shared" si="10"/>
        <v>800569403.19749975</v>
      </c>
      <c r="J45" s="200">
        <f t="shared" si="11"/>
        <v>28.151274498207471</v>
      </c>
      <c r="K45" s="642">
        <f>'C2C'!K226</f>
        <v>31023406.77</v>
      </c>
      <c r="L45" s="100"/>
      <c r="Q45" s="70"/>
    </row>
    <row r="46" spans="1:17" ht="12.75" customHeight="1" x14ac:dyDescent="0.25">
      <c r="A46" s="416" t="s">
        <v>118</v>
      </c>
      <c r="B46" s="426"/>
      <c r="C46" s="643">
        <f>'C2C'!C230</f>
        <v>252760434.96000001</v>
      </c>
      <c r="D46" s="671">
        <f>'C2C'!D230</f>
        <v>931929869.0260967</v>
      </c>
      <c r="E46" s="672">
        <f>'C2C'!E230</f>
        <v>995608331.02609658</v>
      </c>
      <c r="F46" s="672">
        <f>'C2C'!F230</f>
        <v>27147382.670000006</v>
      </c>
      <c r="G46" s="672">
        <f>'C2C'!G230</f>
        <v>229091884.64999995</v>
      </c>
      <c r="H46" s="672">
        <f>'C2C'!H230</f>
        <v>912640970.10725534</v>
      </c>
      <c r="I46" s="47">
        <f t="shared" si="10"/>
        <v>-683549085.45725536</v>
      </c>
      <c r="J46" s="200">
        <f t="shared" si="11"/>
        <v>-0.7489791800349741</v>
      </c>
      <c r="K46" s="673">
        <f>'C2C'!K230</f>
        <v>995608331.02609658</v>
      </c>
      <c r="L46" s="100"/>
      <c r="Q46" s="70"/>
    </row>
    <row r="47" spans="1:17" ht="12.75" customHeight="1" x14ac:dyDescent="0.25">
      <c r="A47" s="416" t="s">
        <v>119</v>
      </c>
      <c r="B47" s="426"/>
      <c r="C47" s="642">
        <f>'C2C'!C235</f>
        <v>124834392.02</v>
      </c>
      <c r="D47" s="670">
        <f>'C2C'!D235</f>
        <v>129784404.92762612</v>
      </c>
      <c r="E47" s="408">
        <f>'C2C'!E235</f>
        <v>126434404.92762612</v>
      </c>
      <c r="F47" s="408">
        <f>'C2C'!F235</f>
        <v>12035897.710000001</v>
      </c>
      <c r="G47" s="408">
        <f>'C2C'!G235</f>
        <v>108994496.55999996</v>
      </c>
      <c r="H47" s="408">
        <f>'C2C'!H235</f>
        <v>115898204.5169906</v>
      </c>
      <c r="I47" s="47">
        <f t="shared" si="10"/>
        <v>-6903707.9569906443</v>
      </c>
      <c r="J47" s="200">
        <f t="shared" si="11"/>
        <v>-5.9566996622269199E-2</v>
      </c>
      <c r="K47" s="642">
        <f>'C2C'!K235</f>
        <v>126434404.92762612</v>
      </c>
      <c r="L47" s="100"/>
      <c r="Q47" s="70"/>
    </row>
    <row r="48" spans="1:17" ht="12.75" customHeight="1" x14ac:dyDescent="0.25">
      <c r="A48" s="414" t="s">
        <v>718</v>
      </c>
      <c r="B48" s="426"/>
      <c r="C48" s="641">
        <f>'C2C'!C240</f>
        <v>76856662.089999989</v>
      </c>
      <c r="D48" s="669">
        <f>'C2C'!D240</f>
        <v>81300979.882271051</v>
      </c>
      <c r="E48" s="637">
        <f>'C2C'!E240</f>
        <v>81300979.882271051</v>
      </c>
      <c r="F48" s="637">
        <f>'C2C'!F240</f>
        <v>4872121.9200000018</v>
      </c>
      <c r="G48" s="637">
        <f>'C2C'!G240</f>
        <v>59606545.400000013</v>
      </c>
      <c r="H48" s="637">
        <f>'C2C'!H240</f>
        <v>74525898.225415125</v>
      </c>
      <c r="I48" s="102">
        <f t="shared" si="10"/>
        <v>-14919352.825415112</v>
      </c>
      <c r="J48" s="713">
        <f t="shared" si="11"/>
        <v>-0.20019017792028776</v>
      </c>
      <c r="K48" s="641">
        <f>'C2C'!K240</f>
        <v>81300979.882271051</v>
      </c>
      <c r="L48" s="100"/>
      <c r="Q48" s="70"/>
    </row>
    <row r="49" spans="1:17" ht="12.75" customHeight="1" x14ac:dyDescent="0.25">
      <c r="A49" s="92" t="s">
        <v>1209</v>
      </c>
      <c r="B49" s="422">
        <v>3</v>
      </c>
      <c r="C49" s="600">
        <f>C29+C33+C39+C43+C48</f>
        <v>5566648837.5499983</v>
      </c>
      <c r="D49" s="598">
        <f t="shared" ref="D49:I49" si="15">D29+D33+D39+D43+D48</f>
        <v>5516853313.5446301</v>
      </c>
      <c r="E49" s="545">
        <f t="shared" si="15"/>
        <v>5673151026.697073</v>
      </c>
      <c r="F49" s="545">
        <f t="shared" si="15"/>
        <v>393727535.93000001</v>
      </c>
      <c r="G49" s="545">
        <f t="shared" si="15"/>
        <v>4830298861.8999996</v>
      </c>
      <c r="H49" s="545">
        <f t="shared" si="15"/>
        <v>5200388441.1389847</v>
      </c>
      <c r="I49" s="545">
        <f t="shared" si="15"/>
        <v>-370089579.23898405</v>
      </c>
      <c r="J49" s="599">
        <f t="shared" si="11"/>
        <v>-7.1165756832950608E-2</v>
      </c>
      <c r="K49" s="720">
        <f>K29+K33+K39+K43+K48</f>
        <v>5673151026.697073</v>
      </c>
      <c r="L49" s="100"/>
      <c r="Q49" s="75"/>
    </row>
    <row r="50" spans="1:17" ht="12.75" customHeight="1" x14ac:dyDescent="0.25">
      <c r="A50" s="94" t="s">
        <v>893</v>
      </c>
      <c r="B50" s="429"/>
      <c r="C50" s="540">
        <f t="shared" ref="C50:H50" si="16">C26-C49</f>
        <v>223395341.15000153</v>
      </c>
      <c r="D50" s="640">
        <f t="shared" si="16"/>
        <v>927224369.32743168</v>
      </c>
      <c r="E50" s="634">
        <f t="shared" si="16"/>
        <v>914456605.17499161</v>
      </c>
      <c r="F50" s="634">
        <f t="shared" si="16"/>
        <v>35696538.069999933</v>
      </c>
      <c r="G50" s="634">
        <f t="shared" si="16"/>
        <v>758061369.1600008</v>
      </c>
      <c r="H50" s="634">
        <f t="shared" si="16"/>
        <v>838251888.077075</v>
      </c>
      <c r="I50" s="634">
        <f>I26-I49</f>
        <v>-80190518.917075515</v>
      </c>
      <c r="J50" s="638">
        <f>IF(I50=0,"",I50/H50)</f>
        <v>-9.5663988423611179E-2</v>
      </c>
      <c r="K50" s="639">
        <f>K26-K49</f>
        <v>914456605.17499161</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48" t="s">
        <v>1212</v>
      </c>
      <c r="B55" s="1048"/>
      <c r="C55" s="1048"/>
      <c r="D55" s="1048"/>
      <c r="E55" s="1048"/>
      <c r="F55" s="1048"/>
      <c r="G55" s="1048"/>
      <c r="H55" s="1048"/>
      <c r="I55" s="1048"/>
      <c r="J55" s="1048"/>
      <c r="K55" s="1048"/>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s="25" customFormat="1" ht="11.25" customHeight="1" x14ac:dyDescent="0.25"/>
    <row r="66" s="25" customFormat="1" ht="11.25" customHeight="1" x14ac:dyDescent="0.25"/>
    <row r="67" s="25" customFormat="1" ht="11.25" customHeight="1" x14ac:dyDescent="0.25"/>
    <row r="68" s="25" customFormat="1" ht="11.25" customHeight="1" x14ac:dyDescent="0.25"/>
    <row r="69" s="25" customFormat="1" ht="11.25" customHeight="1" x14ac:dyDescent="0.25"/>
    <row r="70" s="25" customFormat="1" ht="11.25" customHeight="1" x14ac:dyDescent="0.25"/>
    <row r="71" s="25" customFormat="1" ht="11.25" customHeight="1" x14ac:dyDescent="0.25"/>
    <row r="72" s="25" customFormat="1" ht="11.25" customHeight="1" x14ac:dyDescent="0.25"/>
    <row r="73" s="25" customFormat="1" ht="11.25" customHeight="1" x14ac:dyDescent="0.25"/>
    <row r="74" s="25" customFormat="1" ht="11.25" customHeight="1" x14ac:dyDescent="0.25"/>
    <row r="75" s="25" customFormat="1" ht="11.25" customHeight="1" x14ac:dyDescent="0.25"/>
    <row r="76" s="25" customFormat="1" ht="11.25" customHeight="1" x14ac:dyDescent="0.25"/>
    <row r="77" s="25" customFormat="1" ht="11.25" customHeight="1" x14ac:dyDescent="0.25"/>
    <row r="78" s="25" customFormat="1" ht="11.25" customHeight="1" x14ac:dyDescent="0.25"/>
    <row r="79" s="25" customFormat="1" ht="11.25" customHeight="1" x14ac:dyDescent="0.25"/>
    <row r="80" s="25" customFormat="1" ht="11.25" customHeight="1" x14ac:dyDescent="0.25"/>
    <row r="81" s="25" customFormat="1" ht="11.25" customHeight="1" x14ac:dyDescent="0.25"/>
    <row r="82" s="25" customFormat="1" ht="11.25" customHeight="1" x14ac:dyDescent="0.25"/>
    <row r="83" s="25" customFormat="1" ht="11.25" customHeight="1" x14ac:dyDescent="0.25"/>
    <row r="84" s="25" customFormat="1" ht="11.25" customHeight="1" x14ac:dyDescent="0.25"/>
    <row r="85" s="25" customFormat="1" ht="11.25" customHeight="1" x14ac:dyDescent="0.25"/>
    <row r="86" s="25" customFormat="1" ht="11.25" customHeight="1" x14ac:dyDescent="0.25"/>
    <row r="87" s="25" customFormat="1" ht="11.25" customHeight="1" x14ac:dyDescent="0.25"/>
    <row r="88" s="25" customFormat="1" ht="11.25" customHeight="1" x14ac:dyDescent="0.25"/>
    <row r="89" s="25" customFormat="1" ht="11.25" customHeight="1" x14ac:dyDescent="0.25"/>
    <row r="90" s="25" customFormat="1" ht="11.25" customHeight="1" x14ac:dyDescent="0.25"/>
    <row r="91" s="25" customFormat="1" ht="11.25" customHeight="1" x14ac:dyDescent="0.25"/>
    <row r="92" s="25" customFormat="1" ht="11.25" customHeight="1" x14ac:dyDescent="0.25"/>
    <row r="93" s="25" customFormat="1" ht="11.25" customHeight="1" x14ac:dyDescent="0.25"/>
    <row r="94" s="25" customFormat="1"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218" activePane="bottomRight" state="frozen"/>
      <selection pane="topRight"/>
      <selection pane="bottomLeft"/>
      <selection pane="bottomRight" activeCell="C241" sqref="C241:C246"/>
    </sheetView>
  </sheetViews>
  <sheetFormatPr defaultColWidth="9.140625" defaultRowHeight="13.5" x14ac:dyDescent="0.25"/>
  <cols>
    <col min="1" max="1" width="38.85546875" style="25" customWidth="1"/>
    <col min="2" max="2" width="3" style="68" customWidth="1"/>
    <col min="3" max="5" width="9.28515625" style="25" customWidth="1"/>
    <col min="6" max="6" width="10.28515625" style="25" customWidth="1"/>
    <col min="7" max="7" width="11.5703125" style="25" customWidth="1"/>
    <col min="8"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47" t="str">
        <f>muni&amp; " - "&amp;S71A&amp; " - "&amp;date</f>
        <v>KZN225 Msunduzi - Table C2 Consolidated Monthly Budget Statement - Financial Performance (functional classification)  - M11 May</v>
      </c>
      <c r="B1" s="1047"/>
      <c r="C1" s="1047"/>
      <c r="D1" s="1047"/>
      <c r="E1" s="1047"/>
      <c r="F1" s="1047"/>
      <c r="G1" s="1047"/>
      <c r="H1" s="1047"/>
      <c r="I1" s="1047"/>
      <c r="J1" s="1047"/>
      <c r="K1" s="1047"/>
    </row>
    <row r="2" spans="1:12" ht="13.5" customHeight="1" x14ac:dyDescent="0.25">
      <c r="A2" s="1045" t="str">
        <f>desc</f>
        <v>Description</v>
      </c>
      <c r="B2" s="1043" t="str">
        <f>head27</f>
        <v>Ref</v>
      </c>
      <c r="C2" s="24" t="str">
        <f>Head1</f>
        <v>2019/20</v>
      </c>
      <c r="D2" s="231" t="str">
        <f>Head2</f>
        <v>Budget Year 2020/21</v>
      </c>
      <c r="E2" s="229"/>
      <c r="F2" s="229"/>
      <c r="G2" s="229"/>
      <c r="H2" s="229"/>
      <c r="I2" s="229"/>
      <c r="J2" s="229"/>
      <c r="K2" s="230"/>
    </row>
    <row r="3" spans="1:12" ht="25.5" x14ac:dyDescent="0.25">
      <c r="A3" s="1046"/>
      <c r="B3" s="1044"/>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1658394619.1699998</v>
      </c>
      <c r="D6" s="605">
        <f t="shared" si="0"/>
        <v>1572338502.3175159</v>
      </c>
      <c r="E6" s="605">
        <f t="shared" si="0"/>
        <v>1661336502.3175159</v>
      </c>
      <c r="F6" s="605">
        <f t="shared" si="0"/>
        <v>92409327.119999975</v>
      </c>
      <c r="G6" s="605">
        <f t="shared" si="0"/>
        <v>1571977301.8</v>
      </c>
      <c r="H6" s="605">
        <f t="shared" si="0"/>
        <v>1522891793.7910564</v>
      </c>
      <c r="I6" s="632">
        <f>G6-H6</f>
        <v>49085508.008943558</v>
      </c>
      <c r="J6" s="633">
        <f>IF(I6=0,"",I6/H6)</f>
        <v>3.2231776551077916E-2</v>
      </c>
      <c r="K6" s="606">
        <f>K7+K10+K24</f>
        <v>1661336502.3175159</v>
      </c>
      <c r="L6" s="100"/>
    </row>
    <row r="7" spans="1:12" x14ac:dyDescent="0.25">
      <c r="A7" s="607" t="s">
        <v>108</v>
      </c>
      <c r="B7" s="415"/>
      <c r="C7" s="608">
        <f>SUM(C8:C9)</f>
        <v>4200350.03</v>
      </c>
      <c r="D7" s="608">
        <f t="shared" ref="D7:K7" si="1">SUM(D8:D9)</f>
        <v>4447530.0133999996</v>
      </c>
      <c r="E7" s="608">
        <f t="shared" si="1"/>
        <v>4447530.0133999996</v>
      </c>
      <c r="F7" s="608">
        <f t="shared" si="1"/>
        <v>610550.21</v>
      </c>
      <c r="G7" s="608">
        <f t="shared" si="1"/>
        <v>3770633.24</v>
      </c>
      <c r="H7" s="608">
        <f t="shared" si="1"/>
        <v>4076902.5122833331</v>
      </c>
      <c r="I7" s="608">
        <f t="shared" ref="I7:I123" si="2">G7-H7</f>
        <v>-306269.27228333289</v>
      </c>
      <c r="J7" s="608">
        <f t="shared" ref="J7:J123" si="3">IF(I7=0,"",I7/H7)</f>
        <v>-7.5123030624492909E-2</v>
      </c>
      <c r="K7" s="610">
        <f t="shared" si="1"/>
        <v>4447530.0133999996</v>
      </c>
      <c r="L7" s="100"/>
    </row>
    <row r="8" spans="1:12" x14ac:dyDescent="0.25">
      <c r="A8" s="695" t="s">
        <v>160</v>
      </c>
      <c r="B8" s="415"/>
      <c r="C8" s="733">
        <v>-128873.70999999999</v>
      </c>
      <c r="D8" s="733"/>
      <c r="E8" s="733"/>
      <c r="F8" s="733"/>
      <c r="G8" s="733"/>
      <c r="H8" s="733"/>
      <c r="I8" s="408">
        <f t="shared" si="2"/>
        <v>0</v>
      </c>
      <c r="J8" s="408" t="str">
        <f t="shared" si="3"/>
        <v/>
      </c>
      <c r="K8" s="735"/>
      <c r="L8" s="100"/>
    </row>
    <row r="9" spans="1:12" ht="22.5" x14ac:dyDescent="0.25">
      <c r="A9" s="695" t="s">
        <v>1122</v>
      </c>
      <c r="B9" s="415"/>
      <c r="C9" s="733">
        <v>4329223.74</v>
      </c>
      <c r="D9" s="733">
        <v>4447530.0133999996</v>
      </c>
      <c r="E9" s="733">
        <v>4447530.0133999996</v>
      </c>
      <c r="F9" s="733">
        <v>610550.21</v>
      </c>
      <c r="G9" s="733">
        <v>3770633.24</v>
      </c>
      <c r="H9" s="733">
        <f>E9/12*11</f>
        <v>4076902.5122833331</v>
      </c>
      <c r="I9" s="408">
        <f t="shared" si="2"/>
        <v>-306269.27228333289</v>
      </c>
      <c r="J9" s="408">
        <f t="shared" si="3"/>
        <v>-7.5123030624492909E-2</v>
      </c>
      <c r="K9" s="735">
        <f>E9</f>
        <v>4447530.0133999996</v>
      </c>
      <c r="L9" s="100"/>
    </row>
    <row r="10" spans="1:12" x14ac:dyDescent="0.25">
      <c r="A10" s="607" t="s">
        <v>1123</v>
      </c>
      <c r="B10" s="415"/>
      <c r="C10" s="608">
        <f t="shared" ref="C10:H10" si="4">SUM(C11:C23)</f>
        <v>1654194234.2399998</v>
      </c>
      <c r="D10" s="608">
        <f t="shared" si="4"/>
        <v>1567890972.3041158</v>
      </c>
      <c r="E10" s="608">
        <f t="shared" si="4"/>
        <v>1656888972.3041158</v>
      </c>
      <c r="F10" s="608">
        <f t="shared" si="4"/>
        <v>91798776.909999982</v>
      </c>
      <c r="G10" s="608">
        <f t="shared" si="4"/>
        <v>1568206668.5599999</v>
      </c>
      <c r="H10" s="608">
        <f t="shared" si="4"/>
        <v>1518814891.2787731</v>
      </c>
      <c r="I10" s="608">
        <f t="shared" ref="I10:I15" si="5">G10-H10</f>
        <v>49391777.281226873</v>
      </c>
      <c r="J10" s="608">
        <f t="shared" ref="J10:J15" si="6">IF(I10=0,"",I10/H10)</f>
        <v>3.2519945363217527E-2</v>
      </c>
      <c r="K10" s="608">
        <f>SUM(K11:K23)</f>
        <v>1656888972.3041158</v>
      </c>
      <c r="L10" s="100"/>
    </row>
    <row r="11" spans="1:12" x14ac:dyDescent="0.25">
      <c r="A11" s="695" t="s">
        <v>1124</v>
      </c>
      <c r="B11" s="415"/>
      <c r="C11" s="733">
        <v>3500875.81</v>
      </c>
      <c r="D11" s="733"/>
      <c r="E11" s="733"/>
      <c r="F11" s="733"/>
      <c r="G11" s="733"/>
      <c r="H11" s="733"/>
      <c r="I11" s="408">
        <f t="shared" si="5"/>
        <v>0</v>
      </c>
      <c r="J11" s="408" t="str">
        <f t="shared" si="6"/>
        <v/>
      </c>
      <c r="K11" s="735"/>
      <c r="L11" s="100"/>
    </row>
    <row r="12" spans="1:12" x14ac:dyDescent="0.25">
      <c r="A12" s="695" t="s">
        <v>1125</v>
      </c>
      <c r="B12" s="415"/>
      <c r="C12" s="733">
        <v>1356895.9</v>
      </c>
      <c r="D12" s="733"/>
      <c r="E12" s="733"/>
      <c r="F12" s="733"/>
      <c r="G12" s="733"/>
      <c r="H12" s="733"/>
      <c r="I12" s="408">
        <f t="shared" si="5"/>
        <v>0</v>
      </c>
      <c r="J12" s="408" t="str">
        <f t="shared" si="6"/>
        <v/>
      </c>
      <c r="K12" s="735"/>
      <c r="L12" s="100"/>
    </row>
    <row r="13" spans="1:12" x14ac:dyDescent="0.25">
      <c r="A13" s="695" t="s">
        <v>1126</v>
      </c>
      <c r="B13" s="415"/>
      <c r="C13" s="733">
        <v>1590314851.0899999</v>
      </c>
      <c r="D13" s="733">
        <v>1548651791.6176159</v>
      </c>
      <c r="E13" s="733">
        <v>1637649791.6176159</v>
      </c>
      <c r="F13" s="733">
        <v>90069409.099999994</v>
      </c>
      <c r="G13" s="733">
        <v>1555448790.55</v>
      </c>
      <c r="H13" s="733">
        <f>E13/12*11</f>
        <v>1501178975.6494813</v>
      </c>
      <c r="I13" s="408">
        <f t="shared" si="5"/>
        <v>54269814.900518656</v>
      </c>
      <c r="J13" s="408">
        <f t="shared" si="6"/>
        <v>3.6151462137976556E-2</v>
      </c>
      <c r="K13" s="735">
        <f>E13</f>
        <v>1637649791.6176159</v>
      </c>
      <c r="L13" s="100"/>
    </row>
    <row r="14" spans="1:12" x14ac:dyDescent="0.25">
      <c r="A14" s="695" t="s">
        <v>1127</v>
      </c>
      <c r="B14" s="415"/>
      <c r="C14" s="733"/>
      <c r="D14" s="733"/>
      <c r="E14" s="733">
        <v>0</v>
      </c>
      <c r="F14" s="733"/>
      <c r="G14" s="733"/>
      <c r="H14" s="733"/>
      <c r="I14" s="408">
        <f t="shared" si="5"/>
        <v>0</v>
      </c>
      <c r="J14" s="408" t="str">
        <f t="shared" si="6"/>
        <v/>
      </c>
      <c r="K14" s="735"/>
      <c r="L14" s="100"/>
    </row>
    <row r="15" spans="1:12" x14ac:dyDescent="0.25">
      <c r="A15" s="695" t="s">
        <v>161</v>
      </c>
      <c r="B15" s="415"/>
      <c r="C15" s="733">
        <v>9291052.9399999995</v>
      </c>
      <c r="D15" s="733">
        <v>18980058.640900001</v>
      </c>
      <c r="E15" s="733">
        <v>18980058.640900001</v>
      </c>
      <c r="F15" s="733">
        <v>425269.35</v>
      </c>
      <c r="G15" s="733">
        <v>7600986.46</v>
      </c>
      <c r="H15" s="733">
        <f t="shared" ref="H15:H17" si="7">E15/12*11</f>
        <v>17398387.087491665</v>
      </c>
      <c r="I15" s="408">
        <f t="shared" si="5"/>
        <v>-9797400.6274916641</v>
      </c>
      <c r="J15" s="408">
        <f t="shared" si="6"/>
        <v>-0.56312120073103633</v>
      </c>
      <c r="K15" s="735">
        <f>E15</f>
        <v>18980058.640900001</v>
      </c>
      <c r="L15" s="100"/>
    </row>
    <row r="16" spans="1:12" x14ac:dyDescent="0.25">
      <c r="A16" s="695" t="s">
        <v>162</v>
      </c>
      <c r="B16" s="415"/>
      <c r="C16" s="733">
        <v>616.54000000000008</v>
      </c>
      <c r="D16" s="733">
        <v>2016.0139999999999</v>
      </c>
      <c r="E16" s="733">
        <v>2016.0139999999999</v>
      </c>
      <c r="F16" s="733">
        <v>301.73</v>
      </c>
      <c r="G16" s="733">
        <v>534.77</v>
      </c>
      <c r="H16" s="733">
        <f t="shared" si="7"/>
        <v>1848.0128333333332</v>
      </c>
      <c r="I16" s="408">
        <f t="shared" ref="I16:I23" si="8">G16-H16</f>
        <v>-1313.2428333333332</v>
      </c>
      <c r="J16" s="408">
        <f t="shared" ref="J16:J23" si="9">IF(I16=0,"",I16/H16)</f>
        <v>-0.71062430392573928</v>
      </c>
      <c r="K16" s="735">
        <f>E16</f>
        <v>2016.0139999999999</v>
      </c>
      <c r="L16" s="100"/>
    </row>
    <row r="17" spans="1:12" x14ac:dyDescent="0.25">
      <c r="A17" s="695" t="s">
        <v>1128</v>
      </c>
      <c r="B17" s="415"/>
      <c r="C17" s="733">
        <v>135.57</v>
      </c>
      <c r="D17" s="733">
        <v>257106.03159999999</v>
      </c>
      <c r="E17" s="733">
        <v>257106.03159999999</v>
      </c>
      <c r="F17" s="733">
        <v>105.8</v>
      </c>
      <c r="G17" s="733">
        <v>105.8</v>
      </c>
      <c r="H17" s="733">
        <f t="shared" si="7"/>
        <v>235680.52896666666</v>
      </c>
      <c r="I17" s="408">
        <f t="shared" si="8"/>
        <v>-235574.72896666668</v>
      </c>
      <c r="J17" s="408">
        <f t="shared" si="9"/>
        <v>-0.99955108722615371</v>
      </c>
      <c r="K17" s="735">
        <f>E17</f>
        <v>257106.03159999999</v>
      </c>
      <c r="L17" s="100"/>
    </row>
    <row r="18" spans="1:12" ht="22.5" x14ac:dyDescent="0.25">
      <c r="A18" s="695" t="s">
        <v>1129</v>
      </c>
      <c r="B18" s="415"/>
      <c r="C18" s="733">
        <v>13.04</v>
      </c>
      <c r="D18" s="733"/>
      <c r="E18" s="733"/>
      <c r="F18" s="733"/>
      <c r="G18" s="733"/>
      <c r="H18" s="733"/>
      <c r="I18" s="408">
        <f t="shared" si="8"/>
        <v>0</v>
      </c>
      <c r="J18" s="408" t="str">
        <f t="shared" si="9"/>
        <v/>
      </c>
      <c r="K18" s="735"/>
      <c r="L18" s="100"/>
    </row>
    <row r="19" spans="1:12" x14ac:dyDescent="0.25">
      <c r="A19" s="695" t="s">
        <v>163</v>
      </c>
      <c r="B19" s="415"/>
      <c r="C19" s="733">
        <v>39624986.5</v>
      </c>
      <c r="D19" s="733"/>
      <c r="E19" s="733"/>
      <c r="F19" s="733">
        <v>1301172.21</v>
      </c>
      <c r="G19" s="733">
        <v>5055262.7699999996</v>
      </c>
      <c r="H19" s="733"/>
      <c r="I19" s="408">
        <f t="shared" si="8"/>
        <v>5055262.7699999996</v>
      </c>
      <c r="J19" s="408" t="e">
        <f t="shared" si="9"/>
        <v>#DIV/0!</v>
      </c>
      <c r="K19" s="735"/>
      <c r="L19" s="100"/>
    </row>
    <row r="20" spans="1:12" x14ac:dyDescent="0.25">
      <c r="A20" s="695" t="s">
        <v>1130</v>
      </c>
      <c r="B20" s="415"/>
      <c r="C20" s="733">
        <v>173.73</v>
      </c>
      <c r="D20" s="733"/>
      <c r="E20" s="733"/>
      <c r="F20" s="733"/>
      <c r="G20" s="733"/>
      <c r="H20" s="733"/>
      <c r="I20" s="408">
        <f t="shared" si="8"/>
        <v>0</v>
      </c>
      <c r="J20" s="408" t="str">
        <f t="shared" si="9"/>
        <v/>
      </c>
      <c r="K20" s="735"/>
      <c r="L20" s="100"/>
    </row>
    <row r="21" spans="1:12" x14ac:dyDescent="0.25">
      <c r="A21" s="695" t="s">
        <v>1131</v>
      </c>
      <c r="B21" s="415"/>
      <c r="C21" s="733">
        <v>173.73</v>
      </c>
      <c r="D21" s="733"/>
      <c r="E21" s="733"/>
      <c r="F21" s="733"/>
      <c r="G21" s="733"/>
      <c r="H21" s="733"/>
      <c r="I21" s="408">
        <f t="shared" si="8"/>
        <v>0</v>
      </c>
      <c r="J21" s="408" t="str">
        <f t="shared" si="9"/>
        <v/>
      </c>
      <c r="K21" s="735"/>
      <c r="L21" s="100"/>
    </row>
    <row r="22" spans="1:12" x14ac:dyDescent="0.25">
      <c r="A22" s="695" t="s">
        <v>1132</v>
      </c>
      <c r="B22" s="415"/>
      <c r="C22" s="733">
        <v>79973.34</v>
      </c>
      <c r="D22" s="733"/>
      <c r="E22" s="733"/>
      <c r="F22" s="733">
        <v>2518.7199999999998</v>
      </c>
      <c r="G22" s="733">
        <v>100988.21</v>
      </c>
      <c r="H22" s="733"/>
      <c r="I22" s="408">
        <f t="shared" si="8"/>
        <v>100988.21</v>
      </c>
      <c r="J22" s="408" t="e">
        <f t="shared" si="9"/>
        <v>#DIV/0!</v>
      </c>
      <c r="K22" s="735"/>
      <c r="L22" s="100"/>
    </row>
    <row r="23" spans="1:12" x14ac:dyDescent="0.25">
      <c r="A23" s="695" t="s">
        <v>1133</v>
      </c>
      <c r="B23" s="415"/>
      <c r="C23" s="733">
        <v>10024486.050000001</v>
      </c>
      <c r="D23" s="733"/>
      <c r="E23" s="733"/>
      <c r="F23" s="733"/>
      <c r="G23" s="733"/>
      <c r="H23" s="733"/>
      <c r="I23" s="408">
        <f t="shared" si="8"/>
        <v>0</v>
      </c>
      <c r="J23" s="408" t="str">
        <f t="shared" si="9"/>
        <v/>
      </c>
      <c r="K23" s="735"/>
      <c r="L23" s="100"/>
    </row>
    <row r="24" spans="1:12" x14ac:dyDescent="0.25">
      <c r="A24" s="607" t="s">
        <v>1134</v>
      </c>
      <c r="B24" s="415"/>
      <c r="C24" s="608">
        <f t="shared" ref="C24:H24" si="10">SUM(C25:C25)</f>
        <v>34.9</v>
      </c>
      <c r="D24" s="608">
        <f t="shared" si="10"/>
        <v>0</v>
      </c>
      <c r="E24" s="608">
        <f t="shared" si="10"/>
        <v>0</v>
      </c>
      <c r="F24" s="608">
        <f t="shared" si="10"/>
        <v>0</v>
      </c>
      <c r="G24" s="608">
        <f t="shared" si="10"/>
        <v>0</v>
      </c>
      <c r="H24" s="608">
        <f t="shared" si="10"/>
        <v>0</v>
      </c>
      <c r="I24" s="608">
        <f t="shared" si="2"/>
        <v>0</v>
      </c>
      <c r="J24" s="608" t="str">
        <f t="shared" si="3"/>
        <v/>
      </c>
      <c r="K24" s="610">
        <f>SUM(K25:K25)</f>
        <v>0</v>
      </c>
      <c r="L24" s="100"/>
    </row>
    <row r="25" spans="1:12" x14ac:dyDescent="0.25">
      <c r="A25" s="695" t="s">
        <v>1135</v>
      </c>
      <c r="B25" s="415"/>
      <c r="C25" s="733">
        <v>34.9</v>
      </c>
      <c r="D25" s="733"/>
      <c r="E25" s="733"/>
      <c r="F25" s="733"/>
      <c r="G25" s="733"/>
      <c r="H25" s="733"/>
      <c r="I25" s="408">
        <f t="shared" si="2"/>
        <v>0</v>
      </c>
      <c r="J25" s="408" t="str">
        <f t="shared" si="3"/>
        <v/>
      </c>
      <c r="K25" s="735"/>
      <c r="L25" s="100"/>
    </row>
    <row r="26" spans="1:12" x14ac:dyDescent="0.25">
      <c r="A26" s="414" t="s">
        <v>109</v>
      </c>
      <c r="B26" s="415"/>
      <c r="C26" s="605">
        <f>C27+C49+C55+C64+C67</f>
        <v>155266538.72</v>
      </c>
      <c r="D26" s="605">
        <f t="shared" ref="D26:K26" si="11">D27+D49+D55+D64+D67</f>
        <v>369251054.47721577</v>
      </c>
      <c r="E26" s="605">
        <f t="shared" si="11"/>
        <v>421154744.47721577</v>
      </c>
      <c r="F26" s="605">
        <f t="shared" si="11"/>
        <v>22917835.25</v>
      </c>
      <c r="G26" s="605">
        <f t="shared" si="11"/>
        <v>132502111.03</v>
      </c>
      <c r="H26" s="605">
        <f t="shared" si="11"/>
        <v>386058515.77078116</v>
      </c>
      <c r="I26" s="605">
        <f t="shared" si="2"/>
        <v>-253556404.74078116</v>
      </c>
      <c r="J26" s="605">
        <f t="shared" si="3"/>
        <v>-0.65678231248065</v>
      </c>
      <c r="K26" s="606">
        <f t="shared" si="11"/>
        <v>421154744.47721577</v>
      </c>
      <c r="L26" s="100"/>
    </row>
    <row r="27" spans="1:12" x14ac:dyDescent="0.25">
      <c r="A27" s="607" t="s">
        <v>110</v>
      </c>
      <c r="B27" s="415"/>
      <c r="C27" s="611">
        <f t="shared" ref="C27:H27" si="12">SUM(C28:C48)</f>
        <v>38829586.050000004</v>
      </c>
      <c r="D27" s="611">
        <f t="shared" si="12"/>
        <v>26242986.682700001</v>
      </c>
      <c r="E27" s="611">
        <f t="shared" si="12"/>
        <v>26648021.682700001</v>
      </c>
      <c r="F27" s="611">
        <f t="shared" si="12"/>
        <v>1379546.81</v>
      </c>
      <c r="G27" s="611">
        <f t="shared" si="12"/>
        <v>22998678.169999998</v>
      </c>
      <c r="H27" s="611">
        <f t="shared" si="12"/>
        <v>24427353.209141668</v>
      </c>
      <c r="I27" s="611">
        <f t="shared" si="2"/>
        <v>-1428675.0391416699</v>
      </c>
      <c r="J27" s="611">
        <f t="shared" si="3"/>
        <v>-5.848669018332301E-2</v>
      </c>
      <c r="K27" s="611">
        <f>SUM(K28:K48)</f>
        <v>26648021.682700001</v>
      </c>
      <c r="L27" s="100"/>
    </row>
    <row r="28" spans="1:12" x14ac:dyDescent="0.25">
      <c r="A28" s="695" t="s">
        <v>165</v>
      </c>
      <c r="B28" s="415"/>
      <c r="C28" s="733">
        <v>63</v>
      </c>
      <c r="D28" s="733"/>
      <c r="E28" s="733"/>
      <c r="F28" s="733"/>
      <c r="G28" s="733"/>
      <c r="H28" s="733"/>
      <c r="I28" s="408">
        <f t="shared" ref="I28:I34" si="13">G28-H28</f>
        <v>0</v>
      </c>
      <c r="J28" s="408" t="str">
        <f t="shared" ref="J28:J34" si="14">IF(I28=0,"",I28/H28)</f>
        <v/>
      </c>
      <c r="K28" s="735"/>
      <c r="L28" s="100"/>
    </row>
    <row r="29" spans="1:12" x14ac:dyDescent="0.25">
      <c r="A29" s="695" t="s">
        <v>712</v>
      </c>
      <c r="B29" s="415"/>
      <c r="C29" s="733"/>
      <c r="D29" s="733"/>
      <c r="E29" s="733"/>
      <c r="F29" s="733"/>
      <c r="G29" s="733"/>
      <c r="H29" s="733"/>
      <c r="I29" s="408">
        <f t="shared" si="13"/>
        <v>0</v>
      </c>
      <c r="J29" s="408" t="str">
        <f t="shared" si="14"/>
        <v/>
      </c>
      <c r="K29" s="735"/>
      <c r="L29" s="100"/>
    </row>
    <row r="30" spans="1:12" x14ac:dyDescent="0.25">
      <c r="A30" s="695" t="s">
        <v>1137</v>
      </c>
      <c r="B30" s="415"/>
      <c r="C30" s="733"/>
      <c r="D30" s="733"/>
      <c r="E30" s="733"/>
      <c r="F30" s="733"/>
      <c r="G30" s="733"/>
      <c r="H30" s="733"/>
      <c r="I30" s="408">
        <f t="shared" si="13"/>
        <v>0</v>
      </c>
      <c r="J30" s="408" t="str">
        <f t="shared" si="14"/>
        <v/>
      </c>
      <c r="K30" s="735"/>
      <c r="L30" s="100"/>
    </row>
    <row r="31" spans="1:12" ht="22.5" x14ac:dyDescent="0.25">
      <c r="A31" s="695" t="s">
        <v>1138</v>
      </c>
      <c r="B31" s="415"/>
      <c r="C31" s="733">
        <v>2698963.34</v>
      </c>
      <c r="D31" s="733">
        <v>3523188.2817999995</v>
      </c>
      <c r="E31" s="733">
        <v>3523188.2817999995</v>
      </c>
      <c r="F31" s="733">
        <v>408517.77</v>
      </c>
      <c r="G31" s="733">
        <v>4642941.5199999996</v>
      </c>
      <c r="H31" s="733">
        <f>E31/12*11</f>
        <v>3229589.2583166664</v>
      </c>
      <c r="I31" s="408">
        <f t="shared" si="13"/>
        <v>1413352.2616833332</v>
      </c>
      <c r="J31" s="408">
        <f t="shared" si="14"/>
        <v>0.43762601019425107</v>
      </c>
      <c r="K31" s="735">
        <f>E31</f>
        <v>3523188.2817999995</v>
      </c>
      <c r="L31" s="100"/>
    </row>
    <row r="32" spans="1:12" x14ac:dyDescent="0.25">
      <c r="A32" s="695" t="s">
        <v>1139</v>
      </c>
      <c r="B32" s="415"/>
      <c r="C32" s="733"/>
      <c r="D32" s="733"/>
      <c r="E32" s="733">
        <v>0</v>
      </c>
      <c r="F32" s="733"/>
      <c r="G32" s="733"/>
      <c r="H32" s="733"/>
      <c r="I32" s="408">
        <f t="shared" si="13"/>
        <v>0</v>
      </c>
      <c r="J32" s="408" t="str">
        <f t="shared" si="14"/>
        <v/>
      </c>
      <c r="K32" s="735"/>
      <c r="L32" s="100"/>
    </row>
    <row r="33" spans="1:12" x14ac:dyDescent="0.25">
      <c r="A33" s="695" t="s">
        <v>1140</v>
      </c>
      <c r="B33" s="415"/>
      <c r="C33" s="733">
        <v>6685882.1399999997</v>
      </c>
      <c r="D33" s="733">
        <v>1045798.4008999999</v>
      </c>
      <c r="E33" s="733">
        <v>1045798.4008999999</v>
      </c>
      <c r="F33" s="733">
        <v>533807.71</v>
      </c>
      <c r="G33" s="733">
        <v>3206315.77</v>
      </c>
      <c r="H33" s="733">
        <f>E33/12*11</f>
        <v>958648.5341583332</v>
      </c>
      <c r="I33" s="408">
        <f t="shared" si="13"/>
        <v>2247667.2358416668</v>
      </c>
      <c r="J33" s="408">
        <f t="shared" si="14"/>
        <v>2.3446207402956665</v>
      </c>
      <c r="K33" s="735">
        <f>E33</f>
        <v>1045798.4008999999</v>
      </c>
      <c r="L33" s="100"/>
    </row>
    <row r="34" spans="1:12" x14ac:dyDescent="0.25">
      <c r="A34" s="695" t="s">
        <v>1141</v>
      </c>
      <c r="B34" s="415"/>
      <c r="C34" s="733"/>
      <c r="D34" s="733"/>
      <c r="E34" s="733">
        <v>0</v>
      </c>
      <c r="F34" s="733"/>
      <c r="G34" s="733"/>
      <c r="H34" s="733"/>
      <c r="I34" s="408">
        <f t="shared" si="13"/>
        <v>0</v>
      </c>
      <c r="J34" s="408" t="str">
        <f t="shared" si="14"/>
        <v/>
      </c>
      <c r="K34" s="735"/>
      <c r="L34" s="100"/>
    </row>
    <row r="35" spans="1:12" x14ac:dyDescent="0.25">
      <c r="A35" s="695" t="s">
        <v>1142</v>
      </c>
      <c r="B35" s="415"/>
      <c r="C35" s="733"/>
      <c r="D35" s="733"/>
      <c r="E35" s="733">
        <v>0</v>
      </c>
      <c r="F35" s="733"/>
      <c r="G35" s="733"/>
      <c r="H35" s="733"/>
      <c r="I35" s="408">
        <f t="shared" ref="I35:I40" si="15">G35-H35</f>
        <v>0</v>
      </c>
      <c r="J35" s="408" t="str">
        <f t="shared" ref="J35:J40" si="16">IF(I35=0,"",I35/H35)</f>
        <v/>
      </c>
      <c r="K35" s="735"/>
      <c r="L35" s="100"/>
    </row>
    <row r="36" spans="1:12" x14ac:dyDescent="0.25">
      <c r="A36" s="695" t="s">
        <v>1143</v>
      </c>
      <c r="B36" s="415"/>
      <c r="C36" s="733"/>
      <c r="D36" s="733"/>
      <c r="E36" s="733">
        <v>0</v>
      </c>
      <c r="F36" s="733"/>
      <c r="G36" s="733"/>
      <c r="H36" s="733"/>
      <c r="I36" s="408">
        <f t="shared" si="15"/>
        <v>0</v>
      </c>
      <c r="J36" s="408" t="str">
        <f t="shared" si="16"/>
        <v/>
      </c>
      <c r="K36" s="735"/>
      <c r="L36" s="100"/>
    </row>
    <row r="37" spans="1:12" x14ac:dyDescent="0.25">
      <c r="A37" s="695" t="s">
        <v>1004</v>
      </c>
      <c r="B37" s="415"/>
      <c r="C37" s="733"/>
      <c r="D37" s="733"/>
      <c r="E37" s="733">
        <v>0</v>
      </c>
      <c r="F37" s="733"/>
      <c r="G37" s="733"/>
      <c r="H37" s="733"/>
      <c r="I37" s="408">
        <f t="shared" si="15"/>
        <v>0</v>
      </c>
      <c r="J37" s="408" t="str">
        <f t="shared" si="16"/>
        <v/>
      </c>
      <c r="K37" s="735"/>
      <c r="L37" s="100"/>
    </row>
    <row r="38" spans="1:12" x14ac:dyDescent="0.25">
      <c r="A38" s="695" t="s">
        <v>1144</v>
      </c>
      <c r="B38" s="415"/>
      <c r="C38" s="733"/>
      <c r="D38" s="733"/>
      <c r="E38" s="733">
        <v>0</v>
      </c>
      <c r="F38" s="733"/>
      <c r="G38" s="733"/>
      <c r="H38" s="733"/>
      <c r="I38" s="408">
        <f t="shared" si="15"/>
        <v>0</v>
      </c>
      <c r="J38" s="408" t="str">
        <f t="shared" si="16"/>
        <v/>
      </c>
      <c r="K38" s="735"/>
      <c r="L38" s="100"/>
    </row>
    <row r="39" spans="1:12" x14ac:dyDescent="0.25">
      <c r="A39" s="695" t="s">
        <v>1145</v>
      </c>
      <c r="B39" s="415"/>
      <c r="C39" s="733"/>
      <c r="D39" s="733"/>
      <c r="E39" s="733">
        <v>0</v>
      </c>
      <c r="F39" s="733"/>
      <c r="G39" s="733"/>
      <c r="H39" s="733"/>
      <c r="I39" s="408">
        <f t="shared" si="15"/>
        <v>0</v>
      </c>
      <c r="J39" s="408" t="str">
        <f t="shared" si="16"/>
        <v/>
      </c>
      <c r="K39" s="735"/>
      <c r="L39" s="100"/>
    </row>
    <row r="40" spans="1:12" x14ac:dyDescent="0.25">
      <c r="A40" s="695" t="s">
        <v>1146</v>
      </c>
      <c r="B40" s="415"/>
      <c r="C40" s="733"/>
      <c r="D40" s="733"/>
      <c r="E40" s="733">
        <v>0</v>
      </c>
      <c r="F40" s="733"/>
      <c r="G40" s="733"/>
      <c r="H40" s="733"/>
      <c r="I40" s="408">
        <f t="shared" si="15"/>
        <v>0</v>
      </c>
      <c r="J40" s="408" t="str">
        <f t="shared" si="16"/>
        <v/>
      </c>
      <c r="K40" s="735"/>
      <c r="L40" s="100"/>
    </row>
    <row r="41" spans="1:12" x14ac:dyDescent="0.25">
      <c r="A41" s="695" t="s">
        <v>164</v>
      </c>
      <c r="B41" s="415"/>
      <c r="C41" s="733">
        <v>28731129.23</v>
      </c>
      <c r="D41" s="733">
        <v>10974000</v>
      </c>
      <c r="E41" s="733">
        <v>10974000</v>
      </c>
      <c r="F41" s="733">
        <v>239232.33</v>
      </c>
      <c r="G41" s="733">
        <v>14784645.51</v>
      </c>
      <c r="H41" s="733">
        <f>E41/12*11</f>
        <v>10059500</v>
      </c>
      <c r="I41" s="408">
        <f t="shared" si="2"/>
        <v>4725145.51</v>
      </c>
      <c r="J41" s="408">
        <f t="shared" si="3"/>
        <v>0.46971971867389034</v>
      </c>
      <c r="K41" s="735">
        <f>E41</f>
        <v>10974000</v>
      </c>
      <c r="L41" s="100"/>
    </row>
    <row r="42" spans="1:12" x14ac:dyDescent="0.25">
      <c r="A42" s="695" t="s">
        <v>1147</v>
      </c>
      <c r="B42" s="415"/>
      <c r="C42" s="733"/>
      <c r="D42" s="733"/>
      <c r="E42" s="733">
        <v>0</v>
      </c>
      <c r="F42" s="733"/>
      <c r="G42" s="733"/>
      <c r="H42" s="733"/>
      <c r="I42" s="408">
        <f t="shared" si="2"/>
        <v>0</v>
      </c>
      <c r="J42" s="408" t="str">
        <f t="shared" si="3"/>
        <v/>
      </c>
      <c r="K42" s="735"/>
      <c r="L42" s="100"/>
    </row>
    <row r="43" spans="1:12" x14ac:dyDescent="0.25">
      <c r="A43" s="695" t="s">
        <v>1148</v>
      </c>
      <c r="B43" s="415"/>
      <c r="C43" s="733"/>
      <c r="D43" s="733"/>
      <c r="E43" s="733">
        <v>0</v>
      </c>
      <c r="F43" s="733"/>
      <c r="G43" s="733"/>
      <c r="H43" s="733"/>
      <c r="I43" s="408">
        <f t="shared" si="2"/>
        <v>0</v>
      </c>
      <c r="J43" s="408" t="str">
        <f t="shared" si="3"/>
        <v/>
      </c>
      <c r="K43" s="735"/>
      <c r="L43" s="100"/>
    </row>
    <row r="44" spans="1:12" x14ac:dyDescent="0.25">
      <c r="A44" s="695" t="s">
        <v>1149</v>
      </c>
      <c r="B44" s="415"/>
      <c r="C44" s="733">
        <v>713369.28</v>
      </c>
      <c r="D44" s="733">
        <v>10700000</v>
      </c>
      <c r="E44" s="733">
        <v>11105035</v>
      </c>
      <c r="F44" s="733">
        <v>197989</v>
      </c>
      <c r="G44" s="733">
        <v>364775.37</v>
      </c>
      <c r="H44" s="733">
        <f>E44/12*11</f>
        <v>10179615.416666668</v>
      </c>
      <c r="I44" s="408">
        <f t="shared" si="2"/>
        <v>-9814840.0466666687</v>
      </c>
      <c r="J44" s="408">
        <f t="shared" si="3"/>
        <v>-0.96416609517460083</v>
      </c>
      <c r="K44" s="735">
        <f>E44</f>
        <v>11105035</v>
      </c>
      <c r="L44" s="100"/>
    </row>
    <row r="45" spans="1:12" x14ac:dyDescent="0.25">
      <c r="A45" s="695" t="s">
        <v>1150</v>
      </c>
      <c r="B45" s="415"/>
      <c r="C45" s="733">
        <v>179.06</v>
      </c>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693112.67</v>
      </c>
      <c r="D49" s="611">
        <f t="shared" ref="D49:K49" si="17">SUM(D50:D54)</f>
        <v>11002054.78726843</v>
      </c>
      <c r="E49" s="611">
        <f t="shared" si="17"/>
        <v>11002054.78726843</v>
      </c>
      <c r="F49" s="611">
        <f t="shared" si="17"/>
        <v>33252.67</v>
      </c>
      <c r="G49" s="611">
        <f t="shared" si="17"/>
        <v>360364.83</v>
      </c>
      <c r="H49" s="611">
        <f t="shared" si="17"/>
        <v>10085216.888329394</v>
      </c>
      <c r="I49" s="611">
        <f t="shared" ref="I49:I54" si="18">G49-H49</f>
        <v>-9724852.0583293941</v>
      </c>
      <c r="J49" s="611">
        <f t="shared" ref="J49:J54" si="19">IF(I49=0,"",I49/H49)</f>
        <v>-0.96426801386720662</v>
      </c>
      <c r="K49" s="614">
        <f t="shared" si="17"/>
        <v>11002054.78726843</v>
      </c>
      <c r="L49" s="100"/>
    </row>
    <row r="50" spans="1:12" x14ac:dyDescent="0.25">
      <c r="A50" s="695" t="s">
        <v>1154</v>
      </c>
      <c r="B50" s="415"/>
      <c r="C50" s="733"/>
      <c r="D50" s="733"/>
      <c r="E50" s="733"/>
      <c r="F50" s="733"/>
      <c r="G50" s="733"/>
      <c r="H50" s="733"/>
      <c r="I50" s="408">
        <f t="shared" si="18"/>
        <v>0</v>
      </c>
      <c r="J50" s="408" t="str">
        <f t="shared" si="19"/>
        <v/>
      </c>
      <c r="K50" s="735"/>
      <c r="L50" s="100"/>
    </row>
    <row r="51" spans="1:12" x14ac:dyDescent="0.25">
      <c r="A51" s="695" t="s">
        <v>1155</v>
      </c>
      <c r="B51" s="415"/>
      <c r="C51" s="733"/>
      <c r="D51" s="733"/>
      <c r="E51" s="733"/>
      <c r="F51" s="733"/>
      <c r="G51" s="733"/>
      <c r="H51" s="733"/>
      <c r="I51" s="408">
        <f t="shared" si="18"/>
        <v>0</v>
      </c>
      <c r="J51" s="408" t="str">
        <f t="shared" si="19"/>
        <v/>
      </c>
      <c r="K51" s="735"/>
      <c r="L51" s="100"/>
    </row>
    <row r="52" spans="1:12" x14ac:dyDescent="0.25">
      <c r="A52" s="695" t="s">
        <v>1156</v>
      </c>
      <c r="B52" s="415"/>
      <c r="C52" s="733">
        <v>527.86</v>
      </c>
      <c r="D52" s="733"/>
      <c r="E52" s="733"/>
      <c r="F52" s="733"/>
      <c r="G52" s="733"/>
      <c r="H52" s="733"/>
      <c r="I52" s="408">
        <f t="shared" si="18"/>
        <v>0</v>
      </c>
      <c r="J52" s="408" t="str">
        <f t="shared" si="19"/>
        <v/>
      </c>
      <c r="K52" s="735"/>
      <c r="L52" s="100"/>
    </row>
    <row r="53" spans="1:12" x14ac:dyDescent="0.25">
      <c r="A53" s="695" t="s">
        <v>1157</v>
      </c>
      <c r="B53" s="415"/>
      <c r="C53" s="733">
        <v>692584.81</v>
      </c>
      <c r="D53" s="733">
        <v>11002054.78726843</v>
      </c>
      <c r="E53" s="733">
        <v>11002054.78726843</v>
      </c>
      <c r="F53" s="733">
        <v>33252.67</v>
      </c>
      <c r="G53" s="733">
        <v>360364.83</v>
      </c>
      <c r="H53" s="733">
        <f>E53/12*11</f>
        <v>10085216.888329394</v>
      </c>
      <c r="I53" s="408">
        <f t="shared" si="18"/>
        <v>-9724852.0583293941</v>
      </c>
      <c r="J53" s="408">
        <f t="shared" si="19"/>
        <v>-0.96426801386720662</v>
      </c>
      <c r="K53" s="735">
        <f>E53</f>
        <v>11002054.78726843</v>
      </c>
      <c r="L53" s="100"/>
    </row>
    <row r="54" spans="1:12" x14ac:dyDescent="0.25">
      <c r="A54" s="695" t="s">
        <v>1158</v>
      </c>
      <c r="B54" s="415"/>
      <c r="C54" s="733"/>
      <c r="D54" s="733"/>
      <c r="E54" s="733"/>
      <c r="F54" s="733"/>
      <c r="G54" s="733"/>
      <c r="H54" s="733"/>
      <c r="I54" s="408">
        <f t="shared" si="18"/>
        <v>0</v>
      </c>
      <c r="J54" s="408" t="str">
        <f t="shared" si="19"/>
        <v/>
      </c>
      <c r="K54" s="735"/>
      <c r="L54" s="100"/>
    </row>
    <row r="55" spans="1:12" x14ac:dyDescent="0.25">
      <c r="A55" s="607" t="s">
        <v>112</v>
      </c>
      <c r="B55" s="415"/>
      <c r="C55" s="611">
        <f>SUM(C56:C63)</f>
        <v>15024987.17</v>
      </c>
      <c r="D55" s="611">
        <f t="shared" ref="D55:K55" si="20">SUM(D56:D63)</f>
        <v>3768735.4638999999</v>
      </c>
      <c r="E55" s="611">
        <f t="shared" si="20"/>
        <v>3768735.4638999999</v>
      </c>
      <c r="F55" s="611">
        <f t="shared" si="20"/>
        <v>16826344.120000001</v>
      </c>
      <c r="G55" s="611">
        <f t="shared" si="20"/>
        <v>28884228.519999996</v>
      </c>
      <c r="H55" s="611">
        <f t="shared" si="20"/>
        <v>3454674.1752416668</v>
      </c>
      <c r="I55" s="611">
        <f t="shared" si="2"/>
        <v>25429554.344758328</v>
      </c>
      <c r="J55" s="611">
        <f t="shared" si="3"/>
        <v>7.3609125071771606</v>
      </c>
      <c r="K55" s="614">
        <f t="shared" si="20"/>
        <v>3768735.4638999999</v>
      </c>
      <c r="L55" s="100"/>
    </row>
    <row r="56" spans="1:12" x14ac:dyDescent="0.25">
      <c r="A56" s="695" t="s">
        <v>167</v>
      </c>
      <c r="B56" s="415"/>
      <c r="C56" s="733">
        <v>-814.29</v>
      </c>
      <c r="D56" s="733"/>
      <c r="E56" s="733"/>
      <c r="F56" s="733">
        <v>194215.42</v>
      </c>
      <c r="G56" s="733">
        <v>943251.57</v>
      </c>
      <c r="H56" s="733"/>
      <c r="I56" s="408">
        <f t="shared" si="2"/>
        <v>943251.57</v>
      </c>
      <c r="J56" s="408" t="e">
        <f t="shared" si="3"/>
        <v>#DIV/0!</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v>216610.23</v>
      </c>
      <c r="D60" s="733">
        <v>334269.52130000002</v>
      </c>
      <c r="E60" s="733">
        <v>334269.52130000002</v>
      </c>
      <c r="F60" s="733">
        <v>10131.049999999999</v>
      </c>
      <c r="G60" s="733">
        <v>9160523.1199999992</v>
      </c>
      <c r="H60" s="733">
        <f>E60/12*11</f>
        <v>306413.72785833338</v>
      </c>
      <c r="I60" s="408">
        <f t="shared" si="2"/>
        <v>8854109.3921416663</v>
      </c>
      <c r="J60" s="408">
        <f t="shared" si="3"/>
        <v>28.895929219709291</v>
      </c>
      <c r="K60" s="735">
        <f>E60</f>
        <v>334269.52130000002</v>
      </c>
      <c r="L60" s="100"/>
    </row>
    <row r="61" spans="1:12" x14ac:dyDescent="0.25">
      <c r="A61" s="695" t="s">
        <v>1163</v>
      </c>
      <c r="B61" s="415"/>
      <c r="C61" s="733"/>
      <c r="D61" s="733">
        <v>0</v>
      </c>
      <c r="E61" s="733">
        <v>0</v>
      </c>
      <c r="F61" s="733"/>
      <c r="G61" s="733"/>
      <c r="H61" s="733"/>
      <c r="I61" s="408">
        <f>G61-H61</f>
        <v>0</v>
      </c>
      <c r="J61" s="408" t="str">
        <f>IF(I61=0,"",I61/H61)</f>
        <v/>
      </c>
      <c r="K61" s="735"/>
      <c r="L61" s="100"/>
    </row>
    <row r="62" spans="1:12" ht="22.5" x14ac:dyDescent="0.25">
      <c r="A62" s="695" t="s">
        <v>1181</v>
      </c>
      <c r="B62" s="415"/>
      <c r="C62" s="733">
        <v>14809191.23</v>
      </c>
      <c r="D62" s="733">
        <v>3434465.9425999997</v>
      </c>
      <c r="E62" s="733">
        <v>3434465.9425999997</v>
      </c>
      <c r="F62" s="733">
        <v>16621997.65</v>
      </c>
      <c r="G62" s="733">
        <v>18780453.829999998</v>
      </c>
      <c r="H62" s="733">
        <f>E62/12*11</f>
        <v>3148260.4473833335</v>
      </c>
      <c r="I62" s="408">
        <f>G62-H62</f>
        <v>15632193.382616665</v>
      </c>
      <c r="J62" s="408">
        <f>IF(I62=0,"",I62/H62)</f>
        <v>4.9653431296033057</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1">SUM(C65:C66)</f>
        <v>100718852.83</v>
      </c>
      <c r="D64" s="611">
        <f t="shared" si="21"/>
        <v>328237277.54334736</v>
      </c>
      <c r="E64" s="611">
        <f t="shared" si="21"/>
        <v>379735932.54334736</v>
      </c>
      <c r="F64" s="611">
        <f t="shared" si="21"/>
        <v>4678691.6500000004</v>
      </c>
      <c r="G64" s="611">
        <f t="shared" si="21"/>
        <v>80258839.510000005</v>
      </c>
      <c r="H64" s="611">
        <f t="shared" si="21"/>
        <v>348091271.49806845</v>
      </c>
      <c r="I64" s="611">
        <f>G64-H64</f>
        <v>-267832431.98806846</v>
      </c>
      <c r="J64" s="611">
        <f>IF(I64=0,"",I64/H64)</f>
        <v>-0.7694316230206153</v>
      </c>
      <c r="K64" s="614">
        <f>SUM(K65:K66)</f>
        <v>379735932.54334736</v>
      </c>
      <c r="L64" s="100"/>
    </row>
    <row r="65" spans="1:12" x14ac:dyDescent="0.25">
      <c r="A65" s="695" t="s">
        <v>711</v>
      </c>
      <c r="B65" s="415"/>
      <c r="C65" s="733">
        <v>100718852.83</v>
      </c>
      <c r="D65" s="733">
        <v>328237277.54334736</v>
      </c>
      <c r="E65" s="733">
        <v>379735932.54334736</v>
      </c>
      <c r="F65" s="733">
        <v>4678691.6500000004</v>
      </c>
      <c r="G65" s="733">
        <v>80258839.510000005</v>
      </c>
      <c r="H65" s="733">
        <f>E65/12*11</f>
        <v>348091271.49806845</v>
      </c>
      <c r="I65" s="408">
        <f>G65-H65</f>
        <v>-267832431.98806846</v>
      </c>
      <c r="J65" s="408">
        <f>IF(I65=0,"",I65/H65)</f>
        <v>-0.7694316230206153</v>
      </c>
      <c r="K65" s="735">
        <f>E65</f>
        <v>379735932.54334736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2">SUM(C68:C74)</f>
        <v>0</v>
      </c>
      <c r="D67" s="611">
        <f t="shared" si="22"/>
        <v>0</v>
      </c>
      <c r="E67" s="611">
        <f t="shared" si="22"/>
        <v>0</v>
      </c>
      <c r="F67" s="611">
        <f t="shared" si="22"/>
        <v>0</v>
      </c>
      <c r="G67" s="611">
        <f t="shared" si="22"/>
        <v>0</v>
      </c>
      <c r="H67" s="611">
        <f t="shared" si="22"/>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3">C76+C87+C92</f>
        <v>273241464.56</v>
      </c>
      <c r="D75" s="605">
        <f t="shared" si="23"/>
        <v>106923434.37381519</v>
      </c>
      <c r="E75" s="605">
        <f t="shared" si="23"/>
        <v>109927537.37381519</v>
      </c>
      <c r="F75" s="605">
        <f t="shared" si="23"/>
        <v>17352090.48</v>
      </c>
      <c r="G75" s="605">
        <f t="shared" si="23"/>
        <v>214480072.25999999</v>
      </c>
      <c r="H75" s="605">
        <f t="shared" si="23"/>
        <v>100766909.2593306</v>
      </c>
      <c r="I75" s="605">
        <f t="shared" si="2"/>
        <v>113713163.00066939</v>
      </c>
      <c r="J75" s="605">
        <f t="shared" si="3"/>
        <v>1.1284772336126805</v>
      </c>
      <c r="K75" s="606">
        <f>K76+K87+K92</f>
        <v>109927537.37381519</v>
      </c>
      <c r="L75" s="100"/>
    </row>
    <row r="76" spans="1:12" x14ac:dyDescent="0.25">
      <c r="A76" s="607" t="s">
        <v>114</v>
      </c>
      <c r="B76" s="417"/>
      <c r="C76" s="611">
        <f t="shared" ref="C76:H76" si="24">SUM(C77:C86)</f>
        <v>33595749.049999997</v>
      </c>
      <c r="D76" s="611">
        <f t="shared" si="24"/>
        <v>41022287.158399999</v>
      </c>
      <c r="E76" s="611">
        <f t="shared" si="24"/>
        <v>44026390.158399999</v>
      </c>
      <c r="F76" s="611">
        <f t="shared" si="24"/>
        <v>2074671.69</v>
      </c>
      <c r="G76" s="611">
        <f t="shared" si="24"/>
        <v>10558172.859999999</v>
      </c>
      <c r="H76" s="611">
        <f t="shared" si="24"/>
        <v>40357524.311866663</v>
      </c>
      <c r="I76" s="611">
        <f t="shared" si="2"/>
        <v>-29799351.451866664</v>
      </c>
      <c r="J76" s="611">
        <f t="shared" si="3"/>
        <v>-0.73838403023905286</v>
      </c>
      <c r="K76" s="611">
        <f>SUM(K77:K86)</f>
        <v>44026390.158399999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v>13.78</v>
      </c>
      <c r="D78" s="733"/>
      <c r="E78" s="733"/>
      <c r="F78" s="733"/>
      <c r="G78" s="733">
        <v>300000</v>
      </c>
      <c r="H78" s="733"/>
      <c r="I78" s="408">
        <f t="shared" si="2"/>
        <v>300000</v>
      </c>
      <c r="J78" s="408" t="e">
        <f t="shared" si="3"/>
        <v>#DIV/0!</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v>23.95</v>
      </c>
      <c r="D81" s="733"/>
      <c r="E81" s="733">
        <v>4000000</v>
      </c>
      <c r="F81" s="733">
        <v>923082.81</v>
      </c>
      <c r="G81" s="733">
        <v>1464728.18</v>
      </c>
      <c r="H81" s="733">
        <f>E81/12*11</f>
        <v>3666666.6666666665</v>
      </c>
      <c r="I81" s="408">
        <f>G81-H81</f>
        <v>-2201938.4866666663</v>
      </c>
      <c r="J81" s="408">
        <f>IF(I81=0,"",I81/H81)</f>
        <v>-0.6005286781818181</v>
      </c>
      <c r="K81" s="735">
        <f>E81</f>
        <v>4000000</v>
      </c>
      <c r="L81" s="100"/>
    </row>
    <row r="82" spans="1:12" x14ac:dyDescent="0.25">
      <c r="A82" s="695" t="s">
        <v>1176</v>
      </c>
      <c r="B82" s="417"/>
      <c r="C82" s="733"/>
      <c r="D82" s="733"/>
      <c r="E82" s="733">
        <v>0</v>
      </c>
      <c r="F82" s="733"/>
      <c r="G82" s="733"/>
      <c r="H82" s="733"/>
      <c r="I82" s="408">
        <f>G82-H82</f>
        <v>0</v>
      </c>
      <c r="J82" s="408" t="str">
        <f>IF(I82=0,"",I82/H82)</f>
        <v/>
      </c>
      <c r="K82" s="735"/>
      <c r="L82" s="100"/>
    </row>
    <row r="83" spans="1:12" ht="22.5" x14ac:dyDescent="0.25">
      <c r="A83" s="695" t="s">
        <v>1177</v>
      </c>
      <c r="B83" s="417"/>
      <c r="C83" s="733">
        <v>33595711.32</v>
      </c>
      <c r="D83" s="733">
        <v>41022287.158399999</v>
      </c>
      <c r="E83" s="733">
        <v>40026390.158399999</v>
      </c>
      <c r="F83" s="733">
        <v>1151588.8799999999</v>
      </c>
      <c r="G83" s="733">
        <v>8793444.6799999997</v>
      </c>
      <c r="H83" s="733">
        <f>E83/12*11</f>
        <v>36690857.645199999</v>
      </c>
      <c r="I83" s="408">
        <f>G83-H83</f>
        <v>-27897412.9652</v>
      </c>
      <c r="J83" s="408">
        <f>IF(I83=0,"",I83/H83)</f>
        <v>-0.76033690013374811</v>
      </c>
      <c r="K83" s="735">
        <f>E83</f>
        <v>40026390.158399999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5">SUM(C88:C91)</f>
        <v>239601710.63</v>
      </c>
      <c r="D87" s="611">
        <f t="shared" si="25"/>
        <v>65792799.755315199</v>
      </c>
      <c r="E87" s="611">
        <f t="shared" si="25"/>
        <v>65792799.755315199</v>
      </c>
      <c r="F87" s="611">
        <f t="shared" si="25"/>
        <v>15253618.790000001</v>
      </c>
      <c r="G87" s="611">
        <f t="shared" si="25"/>
        <v>203853099.39999998</v>
      </c>
      <c r="H87" s="611">
        <f t="shared" si="25"/>
        <v>60310066.442372262</v>
      </c>
      <c r="I87" s="611">
        <f t="shared" si="2"/>
        <v>143543032.95762771</v>
      </c>
      <c r="J87" s="611">
        <f t="shared" si="3"/>
        <v>2.3800841455677482</v>
      </c>
      <c r="K87" s="614">
        <f>SUM(K88:K91)</f>
        <v>65792799.755315199</v>
      </c>
      <c r="L87" s="100"/>
    </row>
    <row r="88" spans="1:12" x14ac:dyDescent="0.25">
      <c r="A88" s="695" t="s">
        <v>1183</v>
      </c>
      <c r="B88" s="417"/>
      <c r="C88" s="733">
        <v>135535047.31</v>
      </c>
      <c r="D88" s="733">
        <v>65792799.755315199</v>
      </c>
      <c r="E88" s="733">
        <v>65792799.755315199</v>
      </c>
      <c r="F88" s="733">
        <v>8936251.3000000007</v>
      </c>
      <c r="G88" s="733">
        <v>146801937.06999999</v>
      </c>
      <c r="H88" s="733">
        <f>E88/12*11</f>
        <v>60310066.442372262</v>
      </c>
      <c r="I88" s="408">
        <f t="shared" si="2"/>
        <v>86491870.62762773</v>
      </c>
      <c r="J88" s="408">
        <f t="shared" si="3"/>
        <v>1.4341199691808135</v>
      </c>
      <c r="K88" s="735">
        <f>E88</f>
        <v>65792799.755315199</v>
      </c>
      <c r="L88" s="100"/>
    </row>
    <row r="89" spans="1:12" x14ac:dyDescent="0.25">
      <c r="A89" s="695" t="s">
        <v>1184</v>
      </c>
      <c r="B89" s="417"/>
      <c r="C89" s="733"/>
      <c r="D89" s="733"/>
      <c r="E89" s="733"/>
      <c r="F89" s="733"/>
      <c r="G89" s="733"/>
      <c r="H89" s="733"/>
      <c r="I89" s="408">
        <f t="shared" si="2"/>
        <v>0</v>
      </c>
      <c r="J89" s="408" t="str">
        <f t="shared" si="3"/>
        <v/>
      </c>
      <c r="K89" s="735"/>
      <c r="L89" s="100"/>
    </row>
    <row r="90" spans="1:12" x14ac:dyDescent="0.25">
      <c r="A90" s="695" t="s">
        <v>168</v>
      </c>
      <c r="B90" s="417"/>
      <c r="C90" s="733">
        <v>104066663.31999999</v>
      </c>
      <c r="D90" s="733"/>
      <c r="E90" s="733"/>
      <c r="F90" s="733">
        <v>6317367.4900000002</v>
      </c>
      <c r="G90" s="733">
        <v>57051162.329999998</v>
      </c>
      <c r="H90" s="733"/>
      <c r="I90" s="408">
        <f t="shared" si="2"/>
        <v>57051162.329999998</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44004.88</v>
      </c>
      <c r="D92" s="611">
        <f t="shared" ref="D92:K92" si="26">SUM(D93:D98)</f>
        <v>108347.4601</v>
      </c>
      <c r="E92" s="611">
        <f t="shared" si="26"/>
        <v>108347.4601</v>
      </c>
      <c r="F92" s="611">
        <f t="shared" si="26"/>
        <v>23800</v>
      </c>
      <c r="G92" s="611">
        <f t="shared" si="26"/>
        <v>68800</v>
      </c>
      <c r="H92" s="611">
        <f t="shared" si="26"/>
        <v>99318.505091666651</v>
      </c>
      <c r="I92" s="611">
        <f t="shared" si="2"/>
        <v>-30518.505091666651</v>
      </c>
      <c r="J92" s="611">
        <f t="shared" si="3"/>
        <v>-0.30727914262804701</v>
      </c>
      <c r="K92" s="614">
        <f t="shared" si="26"/>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v>44004.88</v>
      </c>
      <c r="D97" s="733">
        <v>108347.4601</v>
      </c>
      <c r="E97" s="733">
        <v>108347.4601</v>
      </c>
      <c r="F97" s="733">
        <v>23800</v>
      </c>
      <c r="G97" s="733">
        <v>68800</v>
      </c>
      <c r="H97" s="733">
        <f>E97/12*11</f>
        <v>99318.505091666651</v>
      </c>
      <c r="I97" s="408">
        <f t="shared" si="2"/>
        <v>-30518.505091666651</v>
      </c>
      <c r="J97" s="408">
        <f t="shared" si="3"/>
        <v>-0.30727914262804701</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3670460355.04</v>
      </c>
      <c r="D99" s="605">
        <f t="shared" ref="D99:I99" si="27">D100+D104+D108+D113</f>
        <v>4331953791.0175152</v>
      </c>
      <c r="E99" s="605">
        <f t="shared" si="27"/>
        <v>4331577947.017518</v>
      </c>
      <c r="F99" s="605">
        <f t="shared" si="27"/>
        <v>294625364.13</v>
      </c>
      <c r="G99" s="605">
        <f t="shared" si="27"/>
        <v>3643610158.75</v>
      </c>
      <c r="H99" s="605">
        <f t="shared" si="27"/>
        <v>3970613118.0993919</v>
      </c>
      <c r="I99" s="605">
        <f t="shared" si="27"/>
        <v>-327002959.34939134</v>
      </c>
      <c r="J99" s="605">
        <f t="shared" si="3"/>
        <v>-8.2355784767546777E-2</v>
      </c>
      <c r="K99" s="606">
        <f>K100+K104+K108+K113</f>
        <v>4331577947.017518</v>
      </c>
      <c r="L99" s="100"/>
    </row>
    <row r="100" spans="1:12" x14ac:dyDescent="0.25">
      <c r="A100" s="607" t="s">
        <v>1191</v>
      </c>
      <c r="B100" s="417"/>
      <c r="C100" s="611">
        <f>SUM(C101:C103)</f>
        <v>2209984732.46</v>
      </c>
      <c r="D100" s="611">
        <f t="shared" ref="D100:K100" si="28">SUM(D101:D103)</f>
        <v>2655002808.9206858</v>
      </c>
      <c r="E100" s="611">
        <f t="shared" si="28"/>
        <v>2655002808.9206858</v>
      </c>
      <c r="F100" s="611">
        <f t="shared" si="28"/>
        <v>180551431.43000001</v>
      </c>
      <c r="G100" s="611">
        <f t="shared" si="28"/>
        <v>2148302404.7800002</v>
      </c>
      <c r="H100" s="611">
        <f t="shared" si="28"/>
        <v>2433752574.8439617</v>
      </c>
      <c r="I100" s="611">
        <f t="shared" si="2"/>
        <v>-285450170.06396151</v>
      </c>
      <c r="J100" s="611">
        <f t="shared" si="3"/>
        <v>-0.11728808138282625</v>
      </c>
      <c r="K100" s="614">
        <f t="shared" si="28"/>
        <v>2655002808.9206858</v>
      </c>
      <c r="L100" s="100"/>
    </row>
    <row r="101" spans="1:12" x14ac:dyDescent="0.25">
      <c r="A101" s="695" t="s">
        <v>1192</v>
      </c>
      <c r="B101" s="417"/>
      <c r="C101" s="733">
        <v>2209067332.3899999</v>
      </c>
      <c r="D101" s="733">
        <v>2635365105.6563859</v>
      </c>
      <c r="E101" s="733">
        <v>2635365105.6563859</v>
      </c>
      <c r="F101" s="733">
        <v>180551431.43000001</v>
      </c>
      <c r="G101" s="733">
        <v>2148302404.7800002</v>
      </c>
      <c r="H101" s="733">
        <f t="shared" ref="H101:H102" si="29">E101/12*11</f>
        <v>2415751346.851687</v>
      </c>
      <c r="I101" s="408">
        <f t="shared" si="2"/>
        <v>-267448942.07168674</v>
      </c>
      <c r="J101" s="408">
        <f t="shared" si="3"/>
        <v>-0.11071045967551169</v>
      </c>
      <c r="K101" s="735">
        <f>E101</f>
        <v>2635365105.6563859</v>
      </c>
      <c r="L101" s="100"/>
    </row>
    <row r="102" spans="1:12" x14ac:dyDescent="0.25">
      <c r="A102" s="695" t="s">
        <v>1193</v>
      </c>
      <c r="B102" s="417"/>
      <c r="C102" s="733">
        <v>917400.07</v>
      </c>
      <c r="D102" s="733">
        <v>19637703.2643</v>
      </c>
      <c r="E102" s="733">
        <v>19637703.2643</v>
      </c>
      <c r="F102" s="733"/>
      <c r="G102" s="733"/>
      <c r="H102" s="733">
        <f t="shared" si="29"/>
        <v>18001227.992275</v>
      </c>
      <c r="I102" s="408">
        <f>G102-H102</f>
        <v>-18001227.992275</v>
      </c>
      <c r="J102" s="408">
        <f>IF(I102=0,"",I102/H102)</f>
        <v>-1</v>
      </c>
      <c r="K102" s="735">
        <f>E102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1060295199.26</v>
      </c>
      <c r="D104" s="611">
        <f t="shared" ref="D104:K104" si="30">SUM(D105:D107)</f>
        <v>1253549994.0011687</v>
      </c>
      <c r="E104" s="611">
        <f t="shared" si="30"/>
        <v>1253174150.0011718</v>
      </c>
      <c r="F104" s="611">
        <f t="shared" si="30"/>
        <v>72248705.030000001</v>
      </c>
      <c r="G104" s="611">
        <f t="shared" si="30"/>
        <v>1081534112.97</v>
      </c>
      <c r="H104" s="611">
        <f t="shared" si="30"/>
        <v>1148742970.8344076</v>
      </c>
      <c r="I104" s="611">
        <f t="shared" si="2"/>
        <v>-67208857.864407539</v>
      </c>
      <c r="J104" s="611">
        <f t="shared" si="3"/>
        <v>-5.8506436662319097E-2</v>
      </c>
      <c r="K104" s="614">
        <f t="shared" si="30"/>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v>1060295199.26</v>
      </c>
      <c r="D106" s="733">
        <v>1253549994.0011687</v>
      </c>
      <c r="E106" s="733">
        <v>1253174150.0011718</v>
      </c>
      <c r="F106" s="733">
        <v>72248705.030000001</v>
      </c>
      <c r="G106" s="733">
        <v>1081534112.97</v>
      </c>
      <c r="H106" s="733">
        <f>E106/12*11</f>
        <v>1148742970.8344076</v>
      </c>
      <c r="I106" s="408">
        <f>G106-H106</f>
        <v>-67208857.864407539</v>
      </c>
      <c r="J106" s="408">
        <f>IF(I106=0,"",I106/H106)</f>
        <v>-5.8506436662319097E-2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254352471.68000001</v>
      </c>
      <c r="D108" s="611">
        <f t="shared" ref="D108:K108" si="31">SUM(D109:D112)</f>
        <v>173542219.90182328</v>
      </c>
      <c r="E108" s="611">
        <f t="shared" si="31"/>
        <v>173542219.90182328</v>
      </c>
      <c r="F108" s="611">
        <f t="shared" si="31"/>
        <v>30945765.359999999</v>
      </c>
      <c r="G108" s="611">
        <f t="shared" si="31"/>
        <v>268826930.92000002</v>
      </c>
      <c r="H108" s="611">
        <f t="shared" si="31"/>
        <v>159080368.24333799</v>
      </c>
      <c r="I108" s="611">
        <f t="shared" si="2"/>
        <v>109746562.67666203</v>
      </c>
      <c r="J108" s="611">
        <f t="shared" si="3"/>
        <v>0.68988124611823698</v>
      </c>
      <c r="K108" s="614">
        <f t="shared" si="31"/>
        <v>173542219.90182328</v>
      </c>
      <c r="L108" s="100"/>
    </row>
    <row r="109" spans="1:12" x14ac:dyDescent="0.25">
      <c r="A109" s="695" t="s">
        <v>174</v>
      </c>
      <c r="B109" s="417"/>
      <c r="C109" s="733">
        <v>7</v>
      </c>
      <c r="D109" s="733"/>
      <c r="E109" s="733"/>
      <c r="F109" s="733"/>
      <c r="G109" s="733"/>
      <c r="H109" s="733"/>
      <c r="I109" s="408">
        <f t="shared" si="2"/>
        <v>0</v>
      </c>
      <c r="J109" s="408" t="str">
        <f t="shared" si="3"/>
        <v/>
      </c>
      <c r="K109" s="735"/>
      <c r="L109" s="100"/>
    </row>
    <row r="110" spans="1:12" x14ac:dyDescent="0.25">
      <c r="A110" s="695" t="s">
        <v>172</v>
      </c>
      <c r="B110" s="417"/>
      <c r="C110" s="733">
        <v>254350145.78</v>
      </c>
      <c r="D110" s="733">
        <v>173542219.90182328</v>
      </c>
      <c r="E110" s="733">
        <v>173542219.90182328</v>
      </c>
      <c r="F110" s="733">
        <v>30945765.359999999</v>
      </c>
      <c r="G110" s="733">
        <v>268826930.92000002</v>
      </c>
      <c r="H110" s="733">
        <f>E110/12*11</f>
        <v>159080368.24333799</v>
      </c>
      <c r="I110" s="408">
        <f t="shared" si="2"/>
        <v>109746562.67666203</v>
      </c>
      <c r="J110" s="408">
        <f t="shared" si="3"/>
        <v>0.68988124611823698</v>
      </c>
      <c r="K110" s="735">
        <f>E110</f>
        <v>173542219.90182328</v>
      </c>
      <c r="L110" s="100"/>
    </row>
    <row r="111" spans="1:12" x14ac:dyDescent="0.25">
      <c r="A111" s="695" t="s">
        <v>173</v>
      </c>
      <c r="B111" s="417"/>
      <c r="C111" s="733">
        <v>2318.9</v>
      </c>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2">SUM(C114:C117)</f>
        <v>145827951.64000002</v>
      </c>
      <c r="D113" s="611">
        <f t="shared" si="32"/>
        <v>249858768.1938374</v>
      </c>
      <c r="E113" s="611">
        <f t="shared" si="32"/>
        <v>249858768.1938374</v>
      </c>
      <c r="F113" s="611">
        <f t="shared" si="32"/>
        <v>10879462.310000001</v>
      </c>
      <c r="G113" s="611">
        <f t="shared" si="32"/>
        <v>144946710.07999998</v>
      </c>
      <c r="H113" s="611">
        <f t="shared" si="32"/>
        <v>229037204.17768428</v>
      </c>
      <c r="I113" s="611">
        <f t="shared" si="2"/>
        <v>-84090494.097684294</v>
      </c>
      <c r="J113" s="611">
        <f t="shared" si="3"/>
        <v>-0.36714774964004498</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v>23816106.460000001</v>
      </c>
      <c r="D115" s="733">
        <v>249858768.1938374</v>
      </c>
      <c r="E115" s="733">
        <v>249858768.1938374</v>
      </c>
      <c r="F115" s="733">
        <v>854372.92</v>
      </c>
      <c r="G115" s="733">
        <v>38893985.780000001</v>
      </c>
      <c r="H115" s="733">
        <f>E115/12*11</f>
        <v>229037204.17768428</v>
      </c>
      <c r="I115" s="408">
        <f>G115-H115</f>
        <v>-190143218.39768428</v>
      </c>
      <c r="J115" s="408">
        <f>IF(I115=0,"",I115/H115)</f>
        <v>-0.83018485612570381</v>
      </c>
      <c r="K115" s="735">
        <f>E115</f>
        <v>249858768.1938374</v>
      </c>
      <c r="L115" s="100"/>
    </row>
    <row r="116" spans="1:12" x14ac:dyDescent="0.25">
      <c r="A116" s="695" t="s">
        <v>1200</v>
      </c>
      <c r="B116" s="417"/>
      <c r="C116" s="733">
        <v>122011845.18000001</v>
      </c>
      <c r="D116" s="733"/>
      <c r="E116" s="733"/>
      <c r="F116" s="733">
        <v>10025089.390000001</v>
      </c>
      <c r="G116" s="733">
        <v>106052724.3</v>
      </c>
      <c r="H116" s="733"/>
      <c r="I116" s="408">
        <f t="shared" si="2"/>
        <v>106052724.3</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32681201.210000001</v>
      </c>
      <c r="D118" s="611">
        <f t="shared" ref="D118:K118" si="33">SUM(D119:D124)</f>
        <v>63610900.686000004</v>
      </c>
      <c r="E118" s="611">
        <f t="shared" si="33"/>
        <v>63610900.686000004</v>
      </c>
      <c r="F118" s="611">
        <f t="shared" si="33"/>
        <v>2119457.02</v>
      </c>
      <c r="G118" s="611">
        <f t="shared" si="33"/>
        <v>25790587.219999999</v>
      </c>
      <c r="H118" s="611">
        <f t="shared" si="33"/>
        <v>58309992.29550001</v>
      </c>
      <c r="I118" s="611">
        <f t="shared" si="2"/>
        <v>-32519405.075500011</v>
      </c>
      <c r="J118" s="611">
        <f t="shared" si="3"/>
        <v>-0.55769866870672957</v>
      </c>
      <c r="K118" s="614">
        <f t="shared" si="33"/>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v>7386267.7300000004</v>
      </c>
      <c r="D120" s="733">
        <v>12490719.594900001</v>
      </c>
      <c r="E120" s="733">
        <v>12490719.594900001</v>
      </c>
      <c r="F120" s="733">
        <v>435865.2</v>
      </c>
      <c r="G120" s="733">
        <v>5852740.8600000003</v>
      </c>
      <c r="H120" s="733">
        <f t="shared" ref="H120:H121" si="34">E120/12*11</f>
        <v>11449826.295325</v>
      </c>
      <c r="I120" s="408">
        <f t="shared" si="2"/>
        <v>-5597085.4353249995</v>
      </c>
      <c r="J120" s="408">
        <f t="shared" si="3"/>
        <v>-0.48883583828780941</v>
      </c>
      <c r="K120" s="735">
        <f t="shared" ref="K120:K121" si="35">E120</f>
        <v>12490719.594900001</v>
      </c>
      <c r="L120" s="100"/>
    </row>
    <row r="121" spans="1:12" x14ac:dyDescent="0.25">
      <c r="A121" s="607" t="s">
        <v>1202</v>
      </c>
      <c r="B121" s="417"/>
      <c r="C121" s="733">
        <v>4347825.95</v>
      </c>
      <c r="D121" s="733">
        <v>7663197.0931999991</v>
      </c>
      <c r="E121" s="733">
        <v>7663197.0931999991</v>
      </c>
      <c r="F121" s="733">
        <v>0</v>
      </c>
      <c r="G121" s="733">
        <v>850000</v>
      </c>
      <c r="H121" s="733">
        <f t="shared" si="34"/>
        <v>7024597.3354333322</v>
      </c>
      <c r="I121" s="408">
        <f>G121-H121</f>
        <v>-6174597.3354333322</v>
      </c>
      <c r="J121" s="408">
        <f>IF(I121=0,"",I121/H121)</f>
        <v>-0.87899662295055014</v>
      </c>
      <c r="K121" s="735">
        <f t="shared" si="35"/>
        <v>7663197.0931999991</v>
      </c>
      <c r="L121" s="100"/>
    </row>
    <row r="122" spans="1:12" x14ac:dyDescent="0.25">
      <c r="A122" s="607" t="s">
        <v>1203</v>
      </c>
      <c r="B122" s="417"/>
      <c r="C122" s="733">
        <v>103515.5</v>
      </c>
      <c r="D122" s="733"/>
      <c r="E122" s="733"/>
      <c r="F122" s="733">
        <v>47266.87</v>
      </c>
      <c r="G122" s="733">
        <v>213037.12</v>
      </c>
      <c r="H122" s="733"/>
      <c r="I122" s="408">
        <f t="shared" si="2"/>
        <v>213037.12</v>
      </c>
      <c r="J122" s="408" t="e">
        <f t="shared" si="3"/>
        <v>#DIV/0!</v>
      </c>
      <c r="K122" s="735"/>
      <c r="L122" s="100"/>
    </row>
    <row r="123" spans="1:12" x14ac:dyDescent="0.25">
      <c r="A123" s="607" t="s">
        <v>441</v>
      </c>
      <c r="B123" s="415"/>
      <c r="C123" s="733">
        <v>20843579.620000001</v>
      </c>
      <c r="D123" s="733">
        <v>43456983.997900009</v>
      </c>
      <c r="E123" s="733">
        <v>43456983.997900009</v>
      </c>
      <c r="F123" s="733">
        <v>1636324.95</v>
      </c>
      <c r="G123" s="733">
        <v>18874809.239999998</v>
      </c>
      <c r="H123" s="733">
        <f>E123/12*11</f>
        <v>39835568.66474168</v>
      </c>
      <c r="I123" s="408">
        <f t="shared" si="2"/>
        <v>-20960759.424741682</v>
      </c>
      <c r="J123" s="408">
        <f t="shared" si="3"/>
        <v>-0.52618200586386943</v>
      </c>
      <c r="K123" s="735">
        <f>E123</f>
        <v>43456983.997900009</v>
      </c>
      <c r="L123" s="100"/>
    </row>
    <row r="124" spans="1:12" x14ac:dyDescent="0.25">
      <c r="A124" s="607" t="s">
        <v>176</v>
      </c>
      <c r="B124" s="415"/>
      <c r="C124" s="733">
        <v>12.41</v>
      </c>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6">C6+C26+C75+C99+C118</f>
        <v>5790044178.6999998</v>
      </c>
      <c r="D125" s="616">
        <f t="shared" si="36"/>
        <v>6444077682.8720617</v>
      </c>
      <c r="E125" s="616">
        <f t="shared" si="36"/>
        <v>6587607631.8720646</v>
      </c>
      <c r="F125" s="616">
        <f t="shared" si="36"/>
        <v>429424073.99999994</v>
      </c>
      <c r="G125" s="616">
        <f t="shared" si="36"/>
        <v>5588360231.0600004</v>
      </c>
      <c r="H125" s="616">
        <f t="shared" si="36"/>
        <v>6038640329.2160597</v>
      </c>
      <c r="I125" s="616">
        <f>G125-H125</f>
        <v>-450280098.15605927</v>
      </c>
      <c r="J125" s="616">
        <f>IF(I125=0,"",I125/H125)</f>
        <v>-7.4566470862243744E-2</v>
      </c>
      <c r="K125" s="617">
        <f>K6+K26+K75+K99+K118</f>
        <v>6587607631.8720646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7">A6</f>
        <v>Municipal governance and administration</v>
      </c>
      <c r="B128" s="620"/>
      <c r="C128" s="605">
        <f t="shared" ref="C128:H128" si="38">C129+C132+C146</f>
        <v>1041450363.4499996</v>
      </c>
      <c r="D128" s="605">
        <f t="shared" si="38"/>
        <v>1354264744.2416518</v>
      </c>
      <c r="E128" s="605">
        <f t="shared" si="38"/>
        <v>1405319174.0330372</v>
      </c>
      <c r="F128" s="605">
        <f t="shared" si="38"/>
        <v>108421297.96000007</v>
      </c>
      <c r="G128" s="605">
        <f t="shared" si="38"/>
        <v>916529466.54999983</v>
      </c>
      <c r="H128" s="605">
        <f t="shared" si="38"/>
        <v>1288209242.8636174</v>
      </c>
      <c r="I128" s="605">
        <f t="shared" ref="I128:I244" si="39">G128-H128</f>
        <v>-371679776.31361759</v>
      </c>
      <c r="J128" s="605">
        <f t="shared" ref="J128:J244" si="40">IF(I128=0,"",I128/H128)</f>
        <v>-0.28852438248882156</v>
      </c>
      <c r="K128" s="606">
        <f>K129+K132+K146</f>
        <v>1405319174.0330372</v>
      </c>
      <c r="L128" s="100"/>
    </row>
    <row r="129" spans="1:12" x14ac:dyDescent="0.25">
      <c r="A129" s="607" t="str">
        <f t="shared" si="37"/>
        <v>Executive and council</v>
      </c>
      <c r="B129" s="620"/>
      <c r="C129" s="608">
        <f t="shared" ref="C129:K129" si="41">SUM(C130:C131)</f>
        <v>123578808.51000004</v>
      </c>
      <c r="D129" s="608">
        <f t="shared" si="41"/>
        <v>137732466.40184778</v>
      </c>
      <c r="E129" s="608">
        <f t="shared" si="41"/>
        <v>138609982.7278536</v>
      </c>
      <c r="F129" s="608">
        <f t="shared" si="41"/>
        <v>8949918.9199999999</v>
      </c>
      <c r="G129" s="608">
        <f t="shared" si="41"/>
        <v>94458865.039999992</v>
      </c>
      <c r="H129" s="608">
        <f t="shared" si="41"/>
        <v>127059150.83386579</v>
      </c>
      <c r="I129" s="608">
        <f t="shared" si="39"/>
        <v>-32600285.7938658</v>
      </c>
      <c r="J129" s="608">
        <f t="shared" si="40"/>
        <v>-0.25657566243687396</v>
      </c>
      <c r="K129" s="610">
        <f t="shared" si="41"/>
        <v>138609982.7278536</v>
      </c>
      <c r="L129" s="100"/>
    </row>
    <row r="130" spans="1:12" x14ac:dyDescent="0.25">
      <c r="A130" s="695" t="str">
        <f t="shared" si="37"/>
        <v>Mayor and Council</v>
      </c>
      <c r="B130" s="620"/>
      <c r="C130" s="733">
        <v>79058829.480000019</v>
      </c>
      <c r="D130" s="733">
        <v>86039675.165266603</v>
      </c>
      <c r="E130" s="733">
        <v>88752895.165266603</v>
      </c>
      <c r="F130" s="733">
        <v>6401980.04</v>
      </c>
      <c r="G130" s="733">
        <v>69081406.379999995</v>
      </c>
      <c r="H130" s="733">
        <f t="shared" ref="H130:H131" si="42">E130/12*11</f>
        <v>81356820.568161055</v>
      </c>
      <c r="I130" s="408">
        <f t="shared" si="39"/>
        <v>-12275414.18816106</v>
      </c>
      <c r="J130" s="408">
        <f t="shared" si="40"/>
        <v>-0.15088365182457777</v>
      </c>
      <c r="K130" s="735">
        <f t="shared" ref="K130:K143" si="43">E130</f>
        <v>88752895.165266603</v>
      </c>
      <c r="L130" s="100"/>
    </row>
    <row r="131" spans="1:12" ht="18.600000000000001" customHeight="1" x14ac:dyDescent="0.25">
      <c r="A131" s="695" t="str">
        <f t="shared" si="37"/>
        <v>Municipal Manager, Town Secretary and Chief Executive</v>
      </c>
      <c r="B131" s="620"/>
      <c r="C131" s="733">
        <v>44519979.030000016</v>
      </c>
      <c r="D131" s="733">
        <v>51692791.236581177</v>
      </c>
      <c r="E131" s="733">
        <v>49857087.562586986</v>
      </c>
      <c r="F131" s="733">
        <v>2547938.88</v>
      </c>
      <c r="G131" s="733">
        <v>25377458.659999993</v>
      </c>
      <c r="H131" s="733">
        <f t="shared" si="42"/>
        <v>45702330.265704736</v>
      </c>
      <c r="I131" s="408">
        <f t="shared" si="39"/>
        <v>-20324871.605704743</v>
      </c>
      <c r="J131" s="408">
        <f t="shared" si="40"/>
        <v>-0.44472287271873817</v>
      </c>
      <c r="K131" s="735">
        <f t="shared" si="43"/>
        <v>49857087.562586986</v>
      </c>
      <c r="L131" s="100"/>
    </row>
    <row r="132" spans="1:12" x14ac:dyDescent="0.25">
      <c r="A132" s="607" t="str">
        <f t="shared" si="37"/>
        <v>Finance and administration</v>
      </c>
      <c r="B132" s="620"/>
      <c r="C132" s="608">
        <f t="shared" ref="C132:H132" si="44">SUM(C133:C145)</f>
        <v>899233616.65999961</v>
      </c>
      <c r="D132" s="608">
        <f t="shared" si="44"/>
        <v>1194545745.0547059</v>
      </c>
      <c r="E132" s="608">
        <f t="shared" si="44"/>
        <v>1244452658.5200856</v>
      </c>
      <c r="F132" s="608">
        <f t="shared" si="44"/>
        <v>97523789.190000072</v>
      </c>
      <c r="G132" s="608">
        <f t="shared" si="44"/>
        <v>807169688.28999984</v>
      </c>
      <c r="H132" s="608">
        <f t="shared" si="44"/>
        <v>1140748270.3100784</v>
      </c>
      <c r="I132" s="608">
        <f t="shared" si="39"/>
        <v>-333578582.02007854</v>
      </c>
      <c r="J132" s="608">
        <f t="shared" si="40"/>
        <v>-0.29242085278762259</v>
      </c>
      <c r="K132" s="608">
        <f>SUM(K133:K145)</f>
        <v>1244452658.5200856</v>
      </c>
      <c r="L132" s="100"/>
    </row>
    <row r="133" spans="1:12" x14ac:dyDescent="0.25">
      <c r="A133" s="695" t="str">
        <f t="shared" si="37"/>
        <v>Administrative and Corporate Support</v>
      </c>
      <c r="B133" s="415"/>
      <c r="C133" s="733">
        <v>50264328.210000001</v>
      </c>
      <c r="D133" s="733">
        <v>63311187.597137183</v>
      </c>
      <c r="E133" s="733">
        <v>62649554.597137183</v>
      </c>
      <c r="F133" s="733">
        <v>3552341.0700000003</v>
      </c>
      <c r="G133" s="733">
        <v>44536769.099999994</v>
      </c>
      <c r="H133" s="733">
        <f t="shared" ref="H133:H135" si="45">E133/12*11</f>
        <v>57428758.380709082</v>
      </c>
      <c r="I133" s="408">
        <f t="shared" si="39"/>
        <v>-12891989.280709088</v>
      </c>
      <c r="J133" s="408">
        <f t="shared" si="40"/>
        <v>-0.22448664474417127</v>
      </c>
      <c r="K133" s="735">
        <f t="shared" si="43"/>
        <v>62649554.597137183</v>
      </c>
      <c r="L133" s="100"/>
    </row>
    <row r="134" spans="1:12" x14ac:dyDescent="0.25">
      <c r="A134" s="695" t="str">
        <f t="shared" si="37"/>
        <v>Asset Management</v>
      </c>
      <c r="B134" s="415"/>
      <c r="C134" s="733">
        <v>61292864.669999987</v>
      </c>
      <c r="D134" s="733">
        <v>114851325.40861207</v>
      </c>
      <c r="E134" s="733">
        <v>116354060.40861207</v>
      </c>
      <c r="F134" s="733">
        <v>5226043.2200000016</v>
      </c>
      <c r="G134" s="733">
        <v>53890617.010000013</v>
      </c>
      <c r="H134" s="733">
        <f t="shared" si="45"/>
        <v>106657888.7078944</v>
      </c>
      <c r="I134" s="408">
        <f t="shared" si="39"/>
        <v>-52767271.697894387</v>
      </c>
      <c r="J134" s="408">
        <f t="shared" si="40"/>
        <v>-0.49473388548322877</v>
      </c>
      <c r="K134" s="735">
        <f t="shared" si="43"/>
        <v>116354060.40861207</v>
      </c>
      <c r="L134" s="100"/>
    </row>
    <row r="135" spans="1:12" x14ac:dyDescent="0.25">
      <c r="A135" s="695" t="str">
        <f t="shared" si="37"/>
        <v>Finance</v>
      </c>
      <c r="B135" s="415"/>
      <c r="C135" s="733">
        <v>336264911.26999968</v>
      </c>
      <c r="D135" s="733">
        <v>527291938.10809231</v>
      </c>
      <c r="E135" s="733">
        <v>536010051.81119955</v>
      </c>
      <c r="F135" s="733">
        <v>48597344.100000069</v>
      </c>
      <c r="G135" s="733">
        <v>297595394.52999997</v>
      </c>
      <c r="H135" s="733">
        <f t="shared" si="45"/>
        <v>491342547.49359953</v>
      </c>
      <c r="I135" s="408">
        <f t="shared" si="39"/>
        <v>-193747152.96359956</v>
      </c>
      <c r="J135" s="408">
        <f t="shared" si="40"/>
        <v>-0.39432195308940432</v>
      </c>
      <c r="K135" s="735">
        <f t="shared" si="43"/>
        <v>536010051.81119955</v>
      </c>
      <c r="L135" s="100"/>
    </row>
    <row r="136" spans="1:12" x14ac:dyDescent="0.25">
      <c r="A136" s="695" t="str">
        <f t="shared" si="37"/>
        <v>Fleet Management</v>
      </c>
      <c r="B136" s="415"/>
      <c r="C136" s="733"/>
      <c r="D136" s="733"/>
      <c r="E136" s="733">
        <v>0</v>
      </c>
      <c r="F136" s="733"/>
      <c r="G136" s="733"/>
      <c r="H136" s="733"/>
      <c r="I136" s="408">
        <f t="shared" si="39"/>
        <v>0</v>
      </c>
      <c r="J136" s="408" t="str">
        <f t="shared" si="40"/>
        <v/>
      </c>
      <c r="K136" s="735"/>
      <c r="L136" s="100"/>
    </row>
    <row r="137" spans="1:12" x14ac:dyDescent="0.25">
      <c r="A137" s="695" t="str">
        <f t="shared" si="37"/>
        <v>Human Resources</v>
      </c>
      <c r="B137" s="415"/>
      <c r="C137" s="733">
        <v>78526261.099999994</v>
      </c>
      <c r="D137" s="733">
        <v>167919296.40275738</v>
      </c>
      <c r="E137" s="733">
        <v>177750164.40260589</v>
      </c>
      <c r="F137" s="733">
        <v>4326157.8699999992</v>
      </c>
      <c r="G137" s="733">
        <v>69979402.25</v>
      </c>
      <c r="H137" s="733">
        <f t="shared" ref="H137:H141" si="46">E137/12*11</f>
        <v>162937650.70238873</v>
      </c>
      <c r="I137" s="408">
        <f t="shared" si="39"/>
        <v>-92958248.452388734</v>
      </c>
      <c r="J137" s="408">
        <f t="shared" si="40"/>
        <v>-0.57051423076045327</v>
      </c>
      <c r="K137" s="735">
        <f t="shared" si="43"/>
        <v>177750164.40260589</v>
      </c>
      <c r="L137" s="100"/>
    </row>
    <row r="138" spans="1:12" x14ac:dyDescent="0.25">
      <c r="A138" s="695" t="str">
        <f t="shared" si="37"/>
        <v>Information Technology</v>
      </c>
      <c r="B138" s="415"/>
      <c r="C138" s="733">
        <v>39378015.420000009</v>
      </c>
      <c r="D138" s="733">
        <v>36645394.820353068</v>
      </c>
      <c r="E138" s="733">
        <v>47436872.820353068</v>
      </c>
      <c r="F138" s="733">
        <v>8285401.9299999997</v>
      </c>
      <c r="G138" s="733">
        <v>38605262.759999983</v>
      </c>
      <c r="H138" s="733">
        <f t="shared" si="46"/>
        <v>43483800.085323647</v>
      </c>
      <c r="I138" s="408">
        <f t="shared" si="39"/>
        <v>-4878537.3253236637</v>
      </c>
      <c r="J138" s="408">
        <f t="shared" si="40"/>
        <v>-0.11219206499319349</v>
      </c>
      <c r="K138" s="735">
        <f t="shared" si="43"/>
        <v>47436872.820353068</v>
      </c>
      <c r="L138" s="100"/>
    </row>
    <row r="139" spans="1:12" x14ac:dyDescent="0.25">
      <c r="A139" s="695" t="str">
        <f t="shared" si="37"/>
        <v>Legal Services</v>
      </c>
      <c r="B139" s="415"/>
      <c r="C139" s="733">
        <v>14770253.189999998</v>
      </c>
      <c r="D139" s="733">
        <v>11011185.169427564</v>
      </c>
      <c r="E139" s="733">
        <v>10482390.169427564</v>
      </c>
      <c r="F139" s="733">
        <v>1581893.7799999998</v>
      </c>
      <c r="G139" s="733">
        <v>11726998.260000004</v>
      </c>
      <c r="H139" s="733">
        <f t="shared" si="46"/>
        <v>9608857.6553086005</v>
      </c>
      <c r="I139" s="408">
        <f t="shared" si="39"/>
        <v>2118140.604691403</v>
      </c>
      <c r="J139" s="408">
        <f t="shared" si="40"/>
        <v>0.22043625586660606</v>
      </c>
      <c r="K139" s="735">
        <f t="shared" si="43"/>
        <v>10482390.169427564</v>
      </c>
      <c r="L139" s="100"/>
    </row>
    <row r="140" spans="1:12" ht="22.5" x14ac:dyDescent="0.25">
      <c r="A140" s="695" t="str">
        <f t="shared" si="37"/>
        <v>Marketing, Customer Relations, Publicity and Media Co-ordination</v>
      </c>
      <c r="B140" s="415"/>
      <c r="C140" s="733">
        <v>12844089.329999996</v>
      </c>
      <c r="D140" s="733">
        <v>20838266.324347999</v>
      </c>
      <c r="E140" s="733">
        <v>20838266.324347999</v>
      </c>
      <c r="F140" s="733">
        <v>1298022.1699999997</v>
      </c>
      <c r="G140" s="733">
        <v>15055942.709999999</v>
      </c>
      <c r="H140" s="733">
        <f t="shared" si="46"/>
        <v>19101744.130652331</v>
      </c>
      <c r="I140" s="408">
        <f t="shared" si="39"/>
        <v>-4045801.4206523318</v>
      </c>
      <c r="J140" s="408">
        <f t="shared" si="40"/>
        <v>-0.2118027229859123</v>
      </c>
      <c r="K140" s="735">
        <f t="shared" si="43"/>
        <v>20838266.324347999</v>
      </c>
      <c r="L140" s="100"/>
    </row>
    <row r="141" spans="1:12" x14ac:dyDescent="0.25">
      <c r="A141" s="695" t="str">
        <f t="shared" si="37"/>
        <v>Property Services</v>
      </c>
      <c r="B141" s="415"/>
      <c r="C141" s="733">
        <v>75071808.519999981</v>
      </c>
      <c r="D141" s="733">
        <v>57794332.631016083</v>
      </c>
      <c r="E141" s="733">
        <v>59124332.631016083</v>
      </c>
      <c r="F141" s="733">
        <v>5154291.7299999995</v>
      </c>
      <c r="G141" s="733">
        <v>60297540.740000002</v>
      </c>
      <c r="H141" s="733">
        <f t="shared" si="46"/>
        <v>54197304.911764741</v>
      </c>
      <c r="I141" s="408">
        <f t="shared" si="39"/>
        <v>6100235.8282352611</v>
      </c>
      <c r="J141" s="408">
        <f t="shared" si="40"/>
        <v>0.11255607337240617</v>
      </c>
      <c r="K141" s="735">
        <f t="shared" si="43"/>
        <v>59124332.631016083</v>
      </c>
      <c r="L141" s="100"/>
    </row>
    <row r="142" spans="1:12" x14ac:dyDescent="0.25">
      <c r="A142" s="695" t="str">
        <f t="shared" si="37"/>
        <v>Risk Management</v>
      </c>
      <c r="B142" s="415"/>
      <c r="C142" s="733"/>
      <c r="D142" s="733"/>
      <c r="E142" s="733">
        <v>0</v>
      </c>
      <c r="F142" s="733"/>
      <c r="G142" s="733"/>
      <c r="H142" s="733"/>
      <c r="I142" s="408">
        <f t="shared" si="39"/>
        <v>0</v>
      </c>
      <c r="J142" s="408" t="str">
        <f t="shared" si="40"/>
        <v/>
      </c>
      <c r="K142" s="735"/>
      <c r="L142" s="100"/>
    </row>
    <row r="143" spans="1:12" x14ac:dyDescent="0.25">
      <c r="A143" s="695" t="str">
        <f t="shared" si="37"/>
        <v>Security Services</v>
      </c>
      <c r="B143" s="415"/>
      <c r="C143" s="733">
        <v>154812636.40000004</v>
      </c>
      <c r="D143" s="733">
        <v>131236960.70425577</v>
      </c>
      <c r="E143" s="733">
        <v>128844216.00984205</v>
      </c>
      <c r="F143" s="733">
        <v>13542766.679999998</v>
      </c>
      <c r="G143" s="733">
        <v>164583940.94999996</v>
      </c>
      <c r="H143" s="733">
        <f t="shared" ref="H143:H144" si="47">E143/12*11</f>
        <v>118107198.00902188</v>
      </c>
      <c r="I143" s="408">
        <f t="shared" si="39"/>
        <v>46476742.94097808</v>
      </c>
      <c r="J143" s="408">
        <f t="shared" si="40"/>
        <v>0.39351321278003609</v>
      </c>
      <c r="K143" s="735">
        <f t="shared" si="43"/>
        <v>128844216.00984205</v>
      </c>
      <c r="L143" s="100"/>
    </row>
    <row r="144" spans="1:12" x14ac:dyDescent="0.25">
      <c r="A144" s="695" t="str">
        <f t="shared" si="37"/>
        <v xml:space="preserve">Supply Chain Management </v>
      </c>
      <c r="B144" s="415"/>
      <c r="C144" s="733">
        <v>63181304.390000015</v>
      </c>
      <c r="D144" s="733">
        <v>63645857.888706505</v>
      </c>
      <c r="E144" s="733">
        <v>84962749.34554404</v>
      </c>
      <c r="F144" s="733">
        <v>5959526.6400000006</v>
      </c>
      <c r="G144" s="733">
        <v>50897819.980000004</v>
      </c>
      <c r="H144" s="733">
        <f t="shared" si="47"/>
        <v>77882520.23341538</v>
      </c>
      <c r="I144" s="408">
        <f t="shared" si="39"/>
        <v>-26984700.253415376</v>
      </c>
      <c r="J144" s="408">
        <f t="shared" si="40"/>
        <v>-0.34647954602061826</v>
      </c>
      <c r="K144" s="735">
        <f t="shared" ref="K144" si="48">E144</f>
        <v>84962749.34554404</v>
      </c>
      <c r="L144" s="100"/>
    </row>
    <row r="145" spans="1:12" x14ac:dyDescent="0.25">
      <c r="A145" s="695" t="str">
        <f t="shared" si="37"/>
        <v>Valuation Service</v>
      </c>
      <c r="B145" s="415"/>
      <c r="C145" s="733">
        <v>12827144.16</v>
      </c>
      <c r="D145" s="733"/>
      <c r="E145" s="733">
        <v>0</v>
      </c>
      <c r="F145" s="733"/>
      <c r="G145" s="733"/>
      <c r="H145" s="733"/>
      <c r="I145" s="408">
        <f t="shared" si="39"/>
        <v>0</v>
      </c>
      <c r="J145" s="408" t="str">
        <f t="shared" si="40"/>
        <v/>
      </c>
      <c r="K145" s="735"/>
      <c r="L145" s="100"/>
    </row>
    <row r="146" spans="1:12" x14ac:dyDescent="0.25">
      <c r="A146" s="607" t="str">
        <f t="shared" si="37"/>
        <v>Internal audit</v>
      </c>
      <c r="B146" s="620"/>
      <c r="C146" s="608">
        <f t="shared" ref="C146:H146" si="49">SUM(C147:C147)</f>
        <v>18637938.279999994</v>
      </c>
      <c r="D146" s="608">
        <f t="shared" si="49"/>
        <v>21986532.785097998</v>
      </c>
      <c r="E146" s="608">
        <f t="shared" si="49"/>
        <v>22256532.785097998</v>
      </c>
      <c r="F146" s="608">
        <f t="shared" si="49"/>
        <v>1947589.8499999996</v>
      </c>
      <c r="G146" s="608">
        <f t="shared" si="49"/>
        <v>14900913.219999993</v>
      </c>
      <c r="H146" s="608">
        <f t="shared" si="49"/>
        <v>20401821.719673164</v>
      </c>
      <c r="I146" s="608">
        <f t="shared" si="39"/>
        <v>-5500908.499673171</v>
      </c>
      <c r="J146" s="608">
        <f t="shared" si="40"/>
        <v>-0.26962829963212204</v>
      </c>
      <c r="K146" s="610">
        <f>SUM(K147:K147)</f>
        <v>22256532.785097998</v>
      </c>
      <c r="L146" s="100"/>
    </row>
    <row r="147" spans="1:12" x14ac:dyDescent="0.25">
      <c r="A147" s="695" t="str">
        <f t="shared" si="37"/>
        <v>Governance Function</v>
      </c>
      <c r="B147" s="620"/>
      <c r="C147" s="733">
        <v>18637938.279999994</v>
      </c>
      <c r="D147" s="733">
        <v>21986532.785097998</v>
      </c>
      <c r="E147" s="733">
        <v>22256532.785097998</v>
      </c>
      <c r="F147" s="733">
        <v>1947589.8499999996</v>
      </c>
      <c r="G147" s="733">
        <v>14900913.219999993</v>
      </c>
      <c r="H147" s="733">
        <f>E147/12*11</f>
        <v>20401821.719673164</v>
      </c>
      <c r="I147" s="408">
        <f t="shared" si="39"/>
        <v>-5500908.499673171</v>
      </c>
      <c r="J147" s="408">
        <f t="shared" si="40"/>
        <v>-0.26962829963212204</v>
      </c>
      <c r="K147" s="735">
        <f t="shared" ref="K147" si="50">E147</f>
        <v>22256532.785097998</v>
      </c>
      <c r="L147" s="100"/>
    </row>
    <row r="148" spans="1:12" x14ac:dyDescent="0.25">
      <c r="A148" s="414" t="str">
        <f t="shared" si="37"/>
        <v>Community and public safety</v>
      </c>
      <c r="B148" s="620"/>
      <c r="C148" s="605">
        <f t="shared" ref="C148:H148" si="51">C149+C171+C177+C186+C189</f>
        <v>472238040.56</v>
      </c>
      <c r="D148" s="605">
        <f t="shared" si="51"/>
        <v>440067727.15977156</v>
      </c>
      <c r="E148" s="605">
        <f t="shared" si="51"/>
        <v>533334006.71673155</v>
      </c>
      <c r="F148" s="605">
        <f t="shared" si="51"/>
        <v>43555741.819999985</v>
      </c>
      <c r="G148" s="605">
        <f t="shared" si="51"/>
        <v>501685756.44999993</v>
      </c>
      <c r="H148" s="605">
        <f t="shared" si="51"/>
        <v>488889506.15700388</v>
      </c>
      <c r="I148" s="605">
        <f t="shared" si="39"/>
        <v>12796250.292996049</v>
      </c>
      <c r="J148" s="605">
        <f t="shared" si="40"/>
        <v>2.6174115279305282E-2</v>
      </c>
      <c r="K148" s="606">
        <f>K149+K171+K177+K186+K189</f>
        <v>533334006.71673155</v>
      </c>
      <c r="L148" s="100"/>
    </row>
    <row r="149" spans="1:12" x14ac:dyDescent="0.25">
      <c r="A149" s="607" t="str">
        <f t="shared" si="37"/>
        <v>Community and social services</v>
      </c>
      <c r="B149" s="620"/>
      <c r="C149" s="611">
        <f t="shared" ref="C149:H149" si="52">SUM(C150:C170)</f>
        <v>113129414.60000002</v>
      </c>
      <c r="D149" s="611">
        <f t="shared" si="52"/>
        <v>128373725.79885694</v>
      </c>
      <c r="E149" s="611">
        <f t="shared" si="52"/>
        <v>130889937.79885694</v>
      </c>
      <c r="F149" s="611">
        <f t="shared" si="52"/>
        <v>10890163.569999998</v>
      </c>
      <c r="G149" s="611">
        <f t="shared" si="52"/>
        <v>140600849.71000001</v>
      </c>
      <c r="H149" s="611">
        <f t="shared" si="52"/>
        <v>119982442.98228553</v>
      </c>
      <c r="I149" s="611">
        <f t="shared" si="39"/>
        <v>20618406.727714479</v>
      </c>
      <c r="J149" s="611">
        <f t="shared" si="40"/>
        <v>0.17184519847423532</v>
      </c>
      <c r="K149" s="614">
        <f>SUM(K150:K170)</f>
        <v>130889937.79885694</v>
      </c>
      <c r="L149" s="100"/>
    </row>
    <row r="150" spans="1:12" x14ac:dyDescent="0.25">
      <c r="A150" s="695" t="str">
        <f t="shared" si="37"/>
        <v>Aged Care</v>
      </c>
      <c r="B150" s="620"/>
      <c r="C150" s="733">
        <v>28650.61</v>
      </c>
      <c r="D150" s="733">
        <v>4431.0612499999997</v>
      </c>
      <c r="E150" s="733">
        <v>4431.0612499999997</v>
      </c>
      <c r="F150" s="733">
        <v>48.75</v>
      </c>
      <c r="G150" s="733">
        <v>530.04999999999995</v>
      </c>
      <c r="H150" s="733">
        <f>E150/12*11</f>
        <v>4061.8061458333327</v>
      </c>
      <c r="I150" s="408">
        <f t="shared" si="39"/>
        <v>-3531.756145833333</v>
      </c>
      <c r="J150" s="408">
        <f t="shared" si="40"/>
        <v>-0.86950386577563932</v>
      </c>
      <c r="K150" s="735">
        <f t="shared" ref="K150" si="53">E150</f>
        <v>4431.0612499999997</v>
      </c>
      <c r="L150" s="100"/>
    </row>
    <row r="151" spans="1:12" x14ac:dyDescent="0.25">
      <c r="A151" s="695" t="str">
        <f t="shared" si="37"/>
        <v>Agricultural</v>
      </c>
      <c r="B151" s="620"/>
      <c r="C151" s="733"/>
      <c r="D151" s="733"/>
      <c r="E151" s="733">
        <v>0</v>
      </c>
      <c r="F151" s="733"/>
      <c r="G151" s="733"/>
      <c r="H151" s="733"/>
      <c r="I151" s="408">
        <f t="shared" si="39"/>
        <v>0</v>
      </c>
      <c r="J151" s="408" t="str">
        <f t="shared" si="40"/>
        <v/>
      </c>
      <c r="K151" s="735"/>
      <c r="L151" s="100"/>
    </row>
    <row r="152" spans="1:12" x14ac:dyDescent="0.25">
      <c r="A152" s="695" t="str">
        <f t="shared" si="37"/>
        <v>Animal Care and Diseases</v>
      </c>
      <c r="B152" s="620"/>
      <c r="C152" s="733">
        <v>1322049.3599999999</v>
      </c>
      <c r="D152" s="733">
        <v>982940.46</v>
      </c>
      <c r="E152" s="733">
        <v>982940.46</v>
      </c>
      <c r="F152" s="733"/>
      <c r="G152" s="733">
        <v>690137.28</v>
      </c>
      <c r="H152" s="733">
        <f>E152/12*11</f>
        <v>901028.755</v>
      </c>
      <c r="I152" s="408">
        <f t="shared" si="39"/>
        <v>-210891.47499999998</v>
      </c>
      <c r="J152" s="408">
        <f t="shared" si="40"/>
        <v>-0.2340563204334139</v>
      </c>
      <c r="K152" s="735">
        <f t="shared" ref="K152:K153" si="54">E152</f>
        <v>982940.46</v>
      </c>
      <c r="L152" s="100"/>
    </row>
    <row r="153" spans="1:12" ht="22.5" x14ac:dyDescent="0.25">
      <c r="A153" s="695" t="str">
        <f t="shared" si="37"/>
        <v>Cemeteries, Funeral Parlours and Crematoriums</v>
      </c>
      <c r="B153" s="620"/>
      <c r="C153" s="733">
        <v>25987108.460000001</v>
      </c>
      <c r="D153" s="733">
        <v>26579168.830668706</v>
      </c>
      <c r="E153" s="733">
        <v>26593168.830668706</v>
      </c>
      <c r="F153" s="733">
        <v>2254433.7700000005</v>
      </c>
      <c r="G153" s="733">
        <v>24317871.890000004</v>
      </c>
      <c r="H153" s="733">
        <f>E153/12*11</f>
        <v>24377071.42811298</v>
      </c>
      <c r="I153" s="408">
        <f t="shared" si="39"/>
        <v>-59199.538112975657</v>
      </c>
      <c r="J153" s="408">
        <f t="shared" si="40"/>
        <v>-2.4284926221573725E-3</v>
      </c>
      <c r="K153" s="735">
        <f t="shared" si="54"/>
        <v>26593168.830668706</v>
      </c>
      <c r="L153" s="100"/>
    </row>
    <row r="154" spans="1:12" x14ac:dyDescent="0.25">
      <c r="A154" s="695" t="str">
        <f t="shared" si="37"/>
        <v>Child Care Facilities</v>
      </c>
      <c r="B154" s="620"/>
      <c r="C154" s="733"/>
      <c r="D154" s="733"/>
      <c r="E154" s="733">
        <v>0</v>
      </c>
      <c r="F154" s="733"/>
      <c r="G154" s="733"/>
      <c r="H154" s="733"/>
      <c r="I154" s="408">
        <f t="shared" si="39"/>
        <v>0</v>
      </c>
      <c r="J154" s="408" t="str">
        <f t="shared" si="40"/>
        <v/>
      </c>
      <c r="K154" s="735"/>
      <c r="L154" s="100"/>
    </row>
    <row r="155" spans="1:12" x14ac:dyDescent="0.25">
      <c r="A155" s="695" t="str">
        <f t="shared" si="37"/>
        <v>Community Halls and Facilities</v>
      </c>
      <c r="B155" s="620"/>
      <c r="C155" s="733">
        <v>14666382.090000005</v>
      </c>
      <c r="D155" s="733">
        <v>15746961.964834005</v>
      </c>
      <c r="E155" s="733">
        <v>15746961.964834005</v>
      </c>
      <c r="F155" s="733">
        <v>2439572.0700000003</v>
      </c>
      <c r="G155" s="733">
        <v>45451742.130000003</v>
      </c>
      <c r="H155" s="733">
        <f>E155/12*11</f>
        <v>14434715.13443117</v>
      </c>
      <c r="I155" s="408">
        <f t="shared" si="39"/>
        <v>31017026.995568834</v>
      </c>
      <c r="J155" s="408">
        <f t="shared" si="40"/>
        <v>2.1487799867684139</v>
      </c>
      <c r="K155" s="735">
        <f t="shared" ref="K155" si="55">E155</f>
        <v>15746961.964834005</v>
      </c>
      <c r="L155" s="100"/>
    </row>
    <row r="156" spans="1:12" x14ac:dyDescent="0.25">
      <c r="A156" s="695" t="str">
        <f t="shared" si="37"/>
        <v>Consumer Protection</v>
      </c>
      <c r="B156" s="620"/>
      <c r="C156" s="733"/>
      <c r="D156" s="733"/>
      <c r="E156" s="733">
        <v>0</v>
      </c>
      <c r="F156" s="733"/>
      <c r="G156" s="733"/>
      <c r="H156" s="733"/>
      <c r="I156" s="408">
        <f t="shared" si="39"/>
        <v>0</v>
      </c>
      <c r="J156" s="408" t="str">
        <f t="shared" si="40"/>
        <v/>
      </c>
      <c r="K156" s="735"/>
      <c r="L156" s="100"/>
    </row>
    <row r="157" spans="1:12" x14ac:dyDescent="0.25">
      <c r="A157" s="695" t="str">
        <f t="shared" si="37"/>
        <v>Cultural Matters</v>
      </c>
      <c r="B157" s="620"/>
      <c r="C157" s="733"/>
      <c r="D157" s="733"/>
      <c r="E157" s="733">
        <v>0</v>
      </c>
      <c r="F157" s="733"/>
      <c r="G157" s="733"/>
      <c r="H157" s="733"/>
      <c r="I157" s="408">
        <f>G157-H157</f>
        <v>0</v>
      </c>
      <c r="J157" s="408" t="str">
        <f>IF(I157=0,"",I157/H157)</f>
        <v/>
      </c>
      <c r="K157" s="735"/>
      <c r="L157" s="100"/>
    </row>
    <row r="158" spans="1:12" x14ac:dyDescent="0.25">
      <c r="A158" s="695" t="str">
        <f t="shared" si="37"/>
        <v>Disaster Management</v>
      </c>
      <c r="B158" s="620"/>
      <c r="C158" s="733"/>
      <c r="D158" s="733"/>
      <c r="E158" s="733">
        <v>0</v>
      </c>
      <c r="F158" s="733"/>
      <c r="G158" s="733"/>
      <c r="H158" s="733"/>
      <c r="I158" s="408">
        <f>G158-H158</f>
        <v>0</v>
      </c>
      <c r="J158" s="408" t="str">
        <f>IF(I158=0,"",I158/H158)</f>
        <v/>
      </c>
      <c r="K158" s="735"/>
      <c r="L158" s="100"/>
    </row>
    <row r="159" spans="1:12" x14ac:dyDescent="0.25">
      <c r="A159" s="695" t="str">
        <f t="shared" si="37"/>
        <v>Education</v>
      </c>
      <c r="B159" s="620"/>
      <c r="C159" s="733"/>
      <c r="D159" s="733"/>
      <c r="E159" s="733">
        <v>0</v>
      </c>
      <c r="F159" s="733"/>
      <c r="G159" s="733"/>
      <c r="H159" s="733"/>
      <c r="I159" s="408">
        <f t="shared" ref="I159:I164" si="56">G159-H159</f>
        <v>0</v>
      </c>
      <c r="J159" s="408" t="str">
        <f t="shared" ref="J159:J164" si="57">IF(I159=0,"",I159/H159)</f>
        <v/>
      </c>
      <c r="K159" s="735"/>
      <c r="L159" s="100"/>
    </row>
    <row r="160" spans="1:12" x14ac:dyDescent="0.25">
      <c r="A160" s="695" t="str">
        <f t="shared" ref="A160:A191" si="58">A38</f>
        <v>Indigenous and Customary Law</v>
      </c>
      <c r="B160" s="620"/>
      <c r="C160" s="733"/>
      <c r="D160" s="733"/>
      <c r="E160" s="733">
        <v>0</v>
      </c>
      <c r="F160" s="733"/>
      <c r="G160" s="733"/>
      <c r="H160" s="733"/>
      <c r="I160" s="408">
        <f t="shared" si="56"/>
        <v>0</v>
      </c>
      <c r="J160" s="408" t="str">
        <f t="shared" si="57"/>
        <v/>
      </c>
      <c r="K160" s="735"/>
      <c r="L160" s="100"/>
    </row>
    <row r="161" spans="1:12" x14ac:dyDescent="0.25">
      <c r="A161" s="695" t="str">
        <f t="shared" si="58"/>
        <v>Industrial Promotion</v>
      </c>
      <c r="B161" s="620"/>
      <c r="C161" s="733"/>
      <c r="D161" s="733"/>
      <c r="E161" s="733">
        <v>0</v>
      </c>
      <c r="F161" s="733"/>
      <c r="G161" s="733"/>
      <c r="H161" s="733"/>
      <c r="I161" s="408">
        <f t="shared" si="56"/>
        <v>0</v>
      </c>
      <c r="J161" s="408" t="str">
        <f t="shared" si="57"/>
        <v/>
      </c>
      <c r="K161" s="735"/>
      <c r="L161" s="100"/>
    </row>
    <row r="162" spans="1:12" x14ac:dyDescent="0.25">
      <c r="A162" s="695" t="str">
        <f t="shared" si="58"/>
        <v>Language Policy</v>
      </c>
      <c r="B162" s="620"/>
      <c r="C162" s="733"/>
      <c r="D162" s="733"/>
      <c r="E162" s="733">
        <v>0</v>
      </c>
      <c r="F162" s="733"/>
      <c r="G162" s="733"/>
      <c r="H162" s="733"/>
      <c r="I162" s="408">
        <f t="shared" si="56"/>
        <v>0</v>
      </c>
      <c r="J162" s="408" t="str">
        <f t="shared" si="57"/>
        <v/>
      </c>
      <c r="K162" s="735"/>
      <c r="L162" s="100"/>
    </row>
    <row r="163" spans="1:12" x14ac:dyDescent="0.25">
      <c r="A163" s="695" t="str">
        <f t="shared" si="58"/>
        <v>Libraries and Archives</v>
      </c>
      <c r="B163" s="620"/>
      <c r="C163" s="733">
        <v>59331929.189999998</v>
      </c>
      <c r="D163" s="733">
        <v>68987451.478751421</v>
      </c>
      <c r="E163" s="733">
        <v>71261116.478751421</v>
      </c>
      <c r="F163" s="733">
        <v>5093446.0399999991</v>
      </c>
      <c r="G163" s="733">
        <v>59411737.959999993</v>
      </c>
      <c r="H163" s="733">
        <f>E163/12*11</f>
        <v>65322690.105522133</v>
      </c>
      <c r="I163" s="408">
        <f t="shared" si="56"/>
        <v>-5910952.14552214</v>
      </c>
      <c r="J163" s="408">
        <f t="shared" si="57"/>
        <v>-9.0488498498356398E-2</v>
      </c>
      <c r="K163" s="735">
        <f t="shared" ref="K163" si="59">E163</f>
        <v>71261116.478751421</v>
      </c>
      <c r="L163" s="100"/>
    </row>
    <row r="164" spans="1:12" x14ac:dyDescent="0.25">
      <c r="A164" s="695" t="str">
        <f t="shared" si="58"/>
        <v>Literacy Programmes</v>
      </c>
      <c r="B164" s="620"/>
      <c r="C164" s="733"/>
      <c r="D164" s="733"/>
      <c r="E164" s="733">
        <v>0</v>
      </c>
      <c r="F164" s="733"/>
      <c r="G164" s="733"/>
      <c r="H164" s="733"/>
      <c r="I164" s="408">
        <f t="shared" si="56"/>
        <v>0</v>
      </c>
      <c r="J164" s="408" t="str">
        <f t="shared" si="57"/>
        <v/>
      </c>
      <c r="K164" s="735"/>
      <c r="L164" s="100"/>
    </row>
    <row r="165" spans="1:12" x14ac:dyDescent="0.25">
      <c r="A165" s="695" t="str">
        <f t="shared" si="58"/>
        <v>Media Services</v>
      </c>
      <c r="B165" s="620"/>
      <c r="C165" s="733"/>
      <c r="D165" s="733"/>
      <c r="E165" s="733">
        <v>0</v>
      </c>
      <c r="F165" s="733"/>
      <c r="G165" s="733"/>
      <c r="H165" s="733"/>
      <c r="I165" s="408">
        <f t="shared" si="39"/>
        <v>0</v>
      </c>
      <c r="J165" s="408" t="str">
        <f t="shared" si="40"/>
        <v/>
      </c>
      <c r="K165" s="735"/>
      <c r="L165" s="100"/>
    </row>
    <row r="166" spans="1:12" x14ac:dyDescent="0.25">
      <c r="A166" s="695" t="str">
        <f t="shared" si="58"/>
        <v>Museums and Art Galleries</v>
      </c>
      <c r="B166" s="620"/>
      <c r="C166" s="733">
        <v>6707807.7100000009</v>
      </c>
      <c r="D166" s="733">
        <v>7907722.2016169671</v>
      </c>
      <c r="E166" s="733">
        <v>8165123.2016169671</v>
      </c>
      <c r="F166" s="733">
        <v>708772.51</v>
      </c>
      <c r="G166" s="733">
        <v>6340956.5999999996</v>
      </c>
      <c r="H166" s="733">
        <f t="shared" ref="H166:H167" si="60">E166/12*11</f>
        <v>7484696.268148886</v>
      </c>
      <c r="I166" s="408">
        <f t="shared" si="39"/>
        <v>-1143739.6681488864</v>
      </c>
      <c r="J166" s="408">
        <f t="shared" si="40"/>
        <v>-0.15281043173603034</v>
      </c>
      <c r="K166" s="735">
        <f t="shared" ref="K166:K167" si="61">E166</f>
        <v>8165123.2016169671</v>
      </c>
      <c r="L166" s="100"/>
    </row>
    <row r="167" spans="1:12" x14ac:dyDescent="0.25">
      <c r="A167" s="695" t="str">
        <f t="shared" si="58"/>
        <v>Population Development</v>
      </c>
      <c r="B167" s="620"/>
      <c r="C167" s="733">
        <v>5079039.34</v>
      </c>
      <c r="D167" s="733">
        <v>8165049.8017358435</v>
      </c>
      <c r="E167" s="733">
        <v>8136195.8017358435</v>
      </c>
      <c r="F167" s="733">
        <v>393353.11</v>
      </c>
      <c r="G167" s="733">
        <v>4381425.96</v>
      </c>
      <c r="H167" s="733">
        <f t="shared" si="60"/>
        <v>7458179.4849245232</v>
      </c>
      <c r="I167" s="408">
        <f t="shared" si="39"/>
        <v>-3076753.5249245232</v>
      </c>
      <c r="J167" s="408">
        <f t="shared" si="40"/>
        <v>-0.41253412191858241</v>
      </c>
      <c r="K167" s="735">
        <f t="shared" si="61"/>
        <v>8136195.8017358435</v>
      </c>
      <c r="L167" s="100"/>
    </row>
    <row r="168" spans="1:12" x14ac:dyDescent="0.25">
      <c r="A168" s="695" t="str">
        <f t="shared" si="58"/>
        <v>Provincial Cultural Matters</v>
      </c>
      <c r="B168" s="620"/>
      <c r="C168" s="733"/>
      <c r="D168" s="733"/>
      <c r="E168" s="733">
        <v>0</v>
      </c>
      <c r="F168" s="733"/>
      <c r="G168" s="733"/>
      <c r="H168" s="733"/>
      <c r="I168" s="408">
        <f t="shared" si="39"/>
        <v>0</v>
      </c>
      <c r="J168" s="408" t="str">
        <f t="shared" si="40"/>
        <v/>
      </c>
      <c r="K168" s="735"/>
      <c r="L168" s="100"/>
    </row>
    <row r="169" spans="1:12" x14ac:dyDescent="0.25">
      <c r="A169" s="695" t="str">
        <f t="shared" si="58"/>
        <v>Theatres</v>
      </c>
      <c r="B169" s="620"/>
      <c r="C169" s="733">
        <v>6447.84</v>
      </c>
      <c r="D169" s="733"/>
      <c r="E169" s="733">
        <v>0</v>
      </c>
      <c r="F169" s="733">
        <v>537.32000000000005</v>
      </c>
      <c r="G169" s="733">
        <v>6447.8399999999992</v>
      </c>
      <c r="H169" s="733"/>
      <c r="I169" s="408">
        <f t="shared" si="39"/>
        <v>6447.8399999999992</v>
      </c>
      <c r="J169" s="408" t="e">
        <f t="shared" si="40"/>
        <v>#DIV/0!</v>
      </c>
      <c r="K169" s="735"/>
      <c r="L169" s="100"/>
    </row>
    <row r="170" spans="1:12" x14ac:dyDescent="0.25">
      <c r="A170" s="695" t="str">
        <f t="shared" si="58"/>
        <v>Zoo's</v>
      </c>
      <c r="B170" s="620"/>
      <c r="C170" s="733"/>
      <c r="D170" s="733"/>
      <c r="E170" s="733">
        <v>0</v>
      </c>
      <c r="F170" s="733"/>
      <c r="G170" s="733"/>
      <c r="H170" s="733"/>
      <c r="I170" s="408">
        <f t="shared" si="39"/>
        <v>0</v>
      </c>
      <c r="J170" s="408" t="str">
        <f t="shared" si="40"/>
        <v/>
      </c>
      <c r="K170" s="735"/>
      <c r="L170" s="100"/>
    </row>
    <row r="171" spans="1:12" x14ac:dyDescent="0.25">
      <c r="A171" s="607" t="str">
        <f t="shared" si="58"/>
        <v>Sport and recreation</v>
      </c>
      <c r="B171" s="620"/>
      <c r="C171" s="611">
        <f t="shared" ref="C171:K171" si="62">SUM(C172:C176)</f>
        <v>102369147.31999999</v>
      </c>
      <c r="D171" s="611">
        <f t="shared" si="62"/>
        <v>114418472.68896006</v>
      </c>
      <c r="E171" s="611">
        <f t="shared" si="62"/>
        <v>114548472.68896006</v>
      </c>
      <c r="F171" s="611">
        <f t="shared" si="62"/>
        <v>10606319.809999999</v>
      </c>
      <c r="G171" s="611">
        <f t="shared" si="62"/>
        <v>111885488.00999996</v>
      </c>
      <c r="H171" s="611">
        <f t="shared" si="62"/>
        <v>105002766.63154672</v>
      </c>
      <c r="I171" s="611">
        <f t="shared" ref="I171:I176" si="63">G171-H171</f>
        <v>6882721.3784532398</v>
      </c>
      <c r="J171" s="611">
        <f t="shared" ref="J171:J176" si="64">IF(I171=0,"",I171/H171)</f>
        <v>6.5548000297978956E-2</v>
      </c>
      <c r="K171" s="614">
        <f t="shared" si="62"/>
        <v>114548472.68896006</v>
      </c>
      <c r="L171" s="100"/>
    </row>
    <row r="172" spans="1:12" x14ac:dyDescent="0.25">
      <c r="A172" s="695" t="str">
        <f t="shared" si="58"/>
        <v xml:space="preserve">Beaches and Jetties </v>
      </c>
      <c r="B172" s="620"/>
      <c r="C172" s="733"/>
      <c r="D172" s="733"/>
      <c r="E172" s="733"/>
      <c r="F172" s="733"/>
      <c r="G172" s="733"/>
      <c r="H172" s="733"/>
      <c r="I172" s="408">
        <f t="shared" si="63"/>
        <v>0</v>
      </c>
      <c r="J172" s="408" t="str">
        <f t="shared" si="64"/>
        <v/>
      </c>
      <c r="K172" s="735"/>
      <c r="L172" s="100"/>
    </row>
    <row r="173" spans="1:12" x14ac:dyDescent="0.25">
      <c r="A173" s="695" t="str">
        <f t="shared" si="58"/>
        <v>Casinos, Racing, Gambling, Wagering</v>
      </c>
      <c r="B173" s="620"/>
      <c r="C173" s="733"/>
      <c r="D173" s="733"/>
      <c r="E173" s="733"/>
      <c r="F173" s="733"/>
      <c r="G173" s="733"/>
      <c r="H173" s="733"/>
      <c r="I173" s="408">
        <f t="shared" si="63"/>
        <v>0</v>
      </c>
      <c r="J173" s="408" t="str">
        <f t="shared" si="64"/>
        <v/>
      </c>
      <c r="K173" s="735"/>
      <c r="L173" s="100"/>
    </row>
    <row r="174" spans="1:12" x14ac:dyDescent="0.25">
      <c r="A174" s="695" t="str">
        <f t="shared" si="58"/>
        <v>Community Parks (including Nurseries)</v>
      </c>
      <c r="B174" s="620"/>
      <c r="C174" s="733">
        <v>45310937.109999999</v>
      </c>
      <c r="D174" s="733">
        <v>48114791.713263765</v>
      </c>
      <c r="E174" s="733">
        <v>48294791.713263765</v>
      </c>
      <c r="F174" s="733">
        <v>4323208.6499999976</v>
      </c>
      <c r="G174" s="733">
        <v>45514012.769999981</v>
      </c>
      <c r="H174" s="733">
        <f t="shared" ref="H174:H175" si="65">E174/12*11</f>
        <v>44270225.737158448</v>
      </c>
      <c r="I174" s="408">
        <f t="shared" si="63"/>
        <v>1243787.0328415334</v>
      </c>
      <c r="J174" s="408">
        <f t="shared" si="64"/>
        <v>2.8095339748799929E-2</v>
      </c>
      <c r="K174" s="735">
        <f t="shared" ref="K174:K175" si="66">E174</f>
        <v>48294791.713263765</v>
      </c>
      <c r="L174" s="100"/>
    </row>
    <row r="175" spans="1:12" x14ac:dyDescent="0.25">
      <c r="A175" s="695" t="str">
        <f t="shared" si="58"/>
        <v>Recreational Facilities</v>
      </c>
      <c r="B175" s="620"/>
      <c r="C175" s="733">
        <v>57058210.209999993</v>
      </c>
      <c r="D175" s="733">
        <v>66303680.975696295</v>
      </c>
      <c r="E175" s="733">
        <v>66253680.975696295</v>
      </c>
      <c r="F175" s="733">
        <v>6283111.1600000001</v>
      </c>
      <c r="G175" s="733">
        <v>66371475.23999998</v>
      </c>
      <c r="H175" s="733">
        <f t="shared" si="65"/>
        <v>60732540.894388273</v>
      </c>
      <c r="I175" s="408">
        <f t="shared" si="63"/>
        <v>5638934.3456117064</v>
      </c>
      <c r="J175" s="408">
        <f t="shared" si="64"/>
        <v>9.2848648559223174E-2</v>
      </c>
      <c r="K175" s="735">
        <f t="shared" si="66"/>
        <v>66253680.975696295</v>
      </c>
      <c r="L175" s="100"/>
    </row>
    <row r="176" spans="1:12" x14ac:dyDescent="0.25">
      <c r="A176" s="695" t="str">
        <f t="shared" si="58"/>
        <v>Sports Grounds and Stadiums</v>
      </c>
      <c r="B176" s="620"/>
      <c r="C176" s="733"/>
      <c r="D176" s="733"/>
      <c r="E176" s="733">
        <v>0</v>
      </c>
      <c r="F176" s="733"/>
      <c r="G176" s="733"/>
      <c r="H176" s="733"/>
      <c r="I176" s="408">
        <f t="shared" si="63"/>
        <v>0</v>
      </c>
      <c r="J176" s="408" t="str">
        <f t="shared" si="64"/>
        <v/>
      </c>
      <c r="K176" s="735"/>
      <c r="L176" s="100"/>
    </row>
    <row r="177" spans="1:12" x14ac:dyDescent="0.25">
      <c r="A177" s="607" t="str">
        <f t="shared" si="58"/>
        <v>Public safety</v>
      </c>
      <c r="B177" s="620"/>
      <c r="C177" s="611">
        <f t="shared" ref="C177:K177" si="67">SUM(C178:C185)</f>
        <v>193214425.33999997</v>
      </c>
      <c r="D177" s="611">
        <f t="shared" si="67"/>
        <v>106871795.2822189</v>
      </c>
      <c r="E177" s="611">
        <f t="shared" si="67"/>
        <v>140511795.83917889</v>
      </c>
      <c r="F177" s="611">
        <f t="shared" si="67"/>
        <v>15075447.199999992</v>
      </c>
      <c r="G177" s="611">
        <f t="shared" si="67"/>
        <v>179214015.93999997</v>
      </c>
      <c r="H177" s="611">
        <f t="shared" si="67"/>
        <v>128802479.51924732</v>
      </c>
      <c r="I177" s="611">
        <f t="shared" si="39"/>
        <v>50411536.420752645</v>
      </c>
      <c r="J177" s="611">
        <f t="shared" si="40"/>
        <v>0.39138638175998391</v>
      </c>
      <c r="K177" s="614">
        <f t="shared" si="67"/>
        <v>140511795.83917889</v>
      </c>
      <c r="L177" s="100"/>
    </row>
    <row r="178" spans="1:12" x14ac:dyDescent="0.25">
      <c r="A178" s="695" t="str">
        <f t="shared" si="58"/>
        <v>Civil Defence</v>
      </c>
      <c r="B178" s="620"/>
      <c r="C178" s="733">
        <v>13908466.710000001</v>
      </c>
      <c r="D178" s="733">
        <v>12197113.976451974</v>
      </c>
      <c r="E178" s="733">
        <v>12197113.976451974</v>
      </c>
      <c r="F178" s="733">
        <v>265642.62</v>
      </c>
      <c r="G178" s="733">
        <v>14259301.600000001</v>
      </c>
      <c r="H178" s="733">
        <f>E178/12*11</f>
        <v>11180687.811747644</v>
      </c>
      <c r="I178" s="408">
        <f t="shared" si="39"/>
        <v>3078613.7882523574</v>
      </c>
      <c r="J178" s="408">
        <f t="shared" si="40"/>
        <v>0.27535101955155494</v>
      </c>
      <c r="K178" s="735">
        <f t="shared" ref="K178" si="68">E178</f>
        <v>12197113.976451974</v>
      </c>
      <c r="L178" s="100"/>
    </row>
    <row r="179" spans="1:12" x14ac:dyDescent="0.25">
      <c r="A179" s="695" t="str">
        <f t="shared" si="58"/>
        <v>Cleansing</v>
      </c>
      <c r="B179" s="620"/>
      <c r="C179" s="733"/>
      <c r="D179" s="733"/>
      <c r="E179" s="733"/>
      <c r="F179" s="733"/>
      <c r="G179" s="733"/>
      <c r="H179" s="733"/>
      <c r="I179" s="408">
        <f t="shared" si="39"/>
        <v>0</v>
      </c>
      <c r="J179" s="408" t="str">
        <f t="shared" si="40"/>
        <v/>
      </c>
      <c r="K179" s="735"/>
      <c r="L179" s="100"/>
    </row>
    <row r="180" spans="1:12" x14ac:dyDescent="0.25">
      <c r="A180" s="695" t="str">
        <f t="shared" si="58"/>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58"/>
        <v xml:space="preserve">Fencing and Fences </v>
      </c>
      <c r="B181" s="620"/>
      <c r="C181" s="733"/>
      <c r="D181" s="733"/>
      <c r="E181" s="733"/>
      <c r="F181" s="733"/>
      <c r="G181" s="733"/>
      <c r="H181" s="733"/>
      <c r="I181" s="408">
        <f t="shared" si="39"/>
        <v>0</v>
      </c>
      <c r="J181" s="408" t="str">
        <f t="shared" si="40"/>
        <v/>
      </c>
      <c r="K181" s="735"/>
      <c r="L181" s="100"/>
    </row>
    <row r="182" spans="1:12" x14ac:dyDescent="0.25">
      <c r="A182" s="695" t="str">
        <f t="shared" si="58"/>
        <v>Fire Fighting and Protection</v>
      </c>
      <c r="B182" s="620"/>
      <c r="C182" s="733">
        <v>98385793.119999975</v>
      </c>
      <c r="D182" s="733">
        <v>94674681.305766925</v>
      </c>
      <c r="E182" s="733">
        <v>128314681.86272693</v>
      </c>
      <c r="F182" s="733">
        <v>8781236.3099999949</v>
      </c>
      <c r="G182" s="733">
        <v>99059271.189999983</v>
      </c>
      <c r="H182" s="733">
        <f>E182/12*11</f>
        <v>117621791.70749968</v>
      </c>
      <c r="I182" s="408">
        <f t="shared" si="39"/>
        <v>-18562520.5174997</v>
      </c>
      <c r="J182" s="408">
        <f t="shared" si="40"/>
        <v>-0.15781531847143368</v>
      </c>
      <c r="K182" s="735">
        <f t="shared" ref="K182" si="69">E182</f>
        <v>128314681.86272693</v>
      </c>
      <c r="L182" s="100"/>
    </row>
    <row r="183" spans="1:12" x14ac:dyDescent="0.25">
      <c r="A183" s="695" t="str">
        <f t="shared" si="58"/>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58"/>
        <v>Police Forces, Traffic and Street Parking Control</v>
      </c>
      <c r="B184" s="620"/>
      <c r="C184" s="733">
        <v>80920165.50999999</v>
      </c>
      <c r="D184" s="733"/>
      <c r="E184" s="733"/>
      <c r="F184" s="733">
        <v>6028568.2699999986</v>
      </c>
      <c r="G184" s="733">
        <v>65895443.149999984</v>
      </c>
      <c r="H184" s="733"/>
      <c r="I184" s="408">
        <f>G184-H184</f>
        <v>65895443.149999984</v>
      </c>
      <c r="J184" s="408" t="e">
        <f>IF(I184=0,"",I184/H184)</f>
        <v>#DIV/0!</v>
      </c>
      <c r="K184" s="735"/>
      <c r="L184" s="100"/>
    </row>
    <row r="185" spans="1:12" x14ac:dyDescent="0.25">
      <c r="A185" s="695" t="str">
        <f t="shared" si="58"/>
        <v>Pounds</v>
      </c>
      <c r="B185" s="620"/>
      <c r="C185" s="733"/>
      <c r="D185" s="733"/>
      <c r="E185" s="733"/>
      <c r="F185" s="733"/>
      <c r="G185" s="733"/>
      <c r="H185" s="733"/>
      <c r="I185" s="408">
        <f t="shared" si="39"/>
        <v>0</v>
      </c>
      <c r="J185" s="408" t="str">
        <f t="shared" si="40"/>
        <v/>
      </c>
      <c r="K185" s="735"/>
      <c r="L185" s="100"/>
    </row>
    <row r="186" spans="1:12" x14ac:dyDescent="0.25">
      <c r="A186" s="607" t="str">
        <f t="shared" si="58"/>
        <v>Housing</v>
      </c>
      <c r="B186" s="620"/>
      <c r="C186" s="611">
        <f t="shared" ref="C186:H186" si="70">SUM(C187:C188)</f>
        <v>58055817.759999983</v>
      </c>
      <c r="D186" s="611">
        <f t="shared" si="70"/>
        <v>90129848.361797929</v>
      </c>
      <c r="E186" s="611">
        <f t="shared" si="70"/>
        <v>147109915.36179793</v>
      </c>
      <c r="F186" s="611">
        <f t="shared" si="70"/>
        <v>6241092.6700000009</v>
      </c>
      <c r="G186" s="611">
        <f t="shared" si="70"/>
        <v>61316246.139999986</v>
      </c>
      <c r="H186" s="611">
        <f t="shared" si="70"/>
        <v>134850755.74831477</v>
      </c>
      <c r="I186" s="611">
        <f>G186-H186</f>
        <v>-73534509.608314782</v>
      </c>
      <c r="J186" s="611">
        <f>IF(I186=0,"",I186/H186)</f>
        <v>-0.54530291061593661</v>
      </c>
      <c r="K186" s="611">
        <f>SUM(K187:K188)</f>
        <v>147109915.36179793</v>
      </c>
      <c r="L186" s="100"/>
    </row>
    <row r="187" spans="1:12" x14ac:dyDescent="0.25">
      <c r="A187" s="695" t="str">
        <f t="shared" si="58"/>
        <v>Housing</v>
      </c>
      <c r="B187" s="620"/>
      <c r="C187" s="733">
        <v>58055817.759999983</v>
      </c>
      <c r="D187" s="733">
        <v>90129848.361797929</v>
      </c>
      <c r="E187" s="733">
        <v>147109915.36179793</v>
      </c>
      <c r="F187" s="733">
        <v>6241092.6700000009</v>
      </c>
      <c r="G187" s="733">
        <v>61316246.139999986</v>
      </c>
      <c r="H187" s="733">
        <f>E187/12*11</f>
        <v>134850755.74831477</v>
      </c>
      <c r="I187" s="408">
        <f>G187-H187</f>
        <v>-73534509.608314782</v>
      </c>
      <c r="J187" s="408">
        <f>IF(I187=0,"",I187/H187)</f>
        <v>-0.54530291061593661</v>
      </c>
      <c r="K187" s="735">
        <f t="shared" ref="K187" si="71">E187</f>
        <v>147109915.36179793</v>
      </c>
      <c r="L187" s="100"/>
    </row>
    <row r="188" spans="1:12" x14ac:dyDescent="0.25">
      <c r="A188" s="695" t="str">
        <f t="shared" si="58"/>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58"/>
        <v>Health</v>
      </c>
      <c r="B189" s="620"/>
      <c r="C189" s="611">
        <f t="shared" ref="C189:K189" si="72">SUM(C190:C196)</f>
        <v>5469235.5399999991</v>
      </c>
      <c r="D189" s="611">
        <f t="shared" si="72"/>
        <v>273885.02793777513</v>
      </c>
      <c r="E189" s="611">
        <f t="shared" si="72"/>
        <v>273885.02793777513</v>
      </c>
      <c r="F189" s="611">
        <f t="shared" si="72"/>
        <v>742718.57</v>
      </c>
      <c r="G189" s="611">
        <f t="shared" si="72"/>
        <v>8669156.6500000004</v>
      </c>
      <c r="H189" s="611">
        <f t="shared" si="72"/>
        <v>251061.27560962719</v>
      </c>
      <c r="I189" s="611">
        <f t="shared" si="39"/>
        <v>8418095.374390373</v>
      </c>
      <c r="J189" s="611">
        <f t="shared" si="40"/>
        <v>33.530043030130976</v>
      </c>
      <c r="K189" s="614">
        <f t="shared" si="72"/>
        <v>273885.02793777513</v>
      </c>
      <c r="L189" s="100"/>
    </row>
    <row r="190" spans="1:12" x14ac:dyDescent="0.25">
      <c r="A190" s="695" t="str">
        <f t="shared" si="58"/>
        <v>Ambulance</v>
      </c>
      <c r="B190" s="620"/>
      <c r="C190" s="733"/>
      <c r="D190" s="733"/>
      <c r="E190" s="733"/>
      <c r="F190" s="733"/>
      <c r="G190" s="733"/>
      <c r="H190" s="733"/>
      <c r="I190" s="408">
        <f t="shared" si="39"/>
        <v>0</v>
      </c>
      <c r="J190" s="408" t="str">
        <f t="shared" si="40"/>
        <v/>
      </c>
      <c r="K190" s="735"/>
      <c r="L190" s="100"/>
    </row>
    <row r="191" spans="1:12" x14ac:dyDescent="0.25">
      <c r="A191" s="695" t="str">
        <f t="shared" si="58"/>
        <v>Health Services</v>
      </c>
      <c r="B191" s="620"/>
      <c r="C191" s="733">
        <v>5469235.5399999991</v>
      </c>
      <c r="D191" s="733">
        <v>273885.02793777513</v>
      </c>
      <c r="E191" s="733">
        <v>273885.02793777513</v>
      </c>
      <c r="F191" s="733">
        <v>742718.57</v>
      </c>
      <c r="G191" s="733">
        <v>8669156.6500000004</v>
      </c>
      <c r="H191" s="733">
        <f>E191/12*11</f>
        <v>251061.27560962719</v>
      </c>
      <c r="I191" s="408">
        <f t="shared" si="39"/>
        <v>8418095.374390373</v>
      </c>
      <c r="J191" s="408">
        <f t="shared" si="40"/>
        <v>33.530043030130976</v>
      </c>
      <c r="K191" s="735">
        <f t="shared" ref="K191" si="73">E191</f>
        <v>273885.02793777513</v>
      </c>
      <c r="L191" s="100"/>
    </row>
    <row r="192" spans="1:12" x14ac:dyDescent="0.25">
      <c r="A192" s="695" t="str">
        <f t="shared" ref="A192:A223" si="74">A70</f>
        <v>Laboratory Services</v>
      </c>
      <c r="B192" s="620"/>
      <c r="C192" s="733"/>
      <c r="D192" s="733"/>
      <c r="E192" s="733"/>
      <c r="F192" s="733"/>
      <c r="G192" s="733"/>
      <c r="H192" s="733"/>
      <c r="I192" s="408">
        <f t="shared" si="39"/>
        <v>0</v>
      </c>
      <c r="J192" s="408" t="str">
        <f t="shared" si="40"/>
        <v/>
      </c>
      <c r="K192" s="735"/>
      <c r="L192" s="100"/>
    </row>
    <row r="193" spans="1:12" x14ac:dyDescent="0.25">
      <c r="A193" s="695" t="str">
        <f t="shared" si="74"/>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74"/>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74"/>
        <v>Vector Control</v>
      </c>
      <c r="B195" s="620"/>
      <c r="C195" s="733"/>
      <c r="D195" s="733"/>
      <c r="E195" s="733"/>
      <c r="F195" s="733"/>
      <c r="G195" s="733"/>
      <c r="H195" s="733"/>
      <c r="I195" s="408">
        <f t="shared" si="39"/>
        <v>0</v>
      </c>
      <c r="J195" s="408" t="str">
        <f t="shared" si="40"/>
        <v/>
      </c>
      <c r="K195" s="735"/>
      <c r="L195" s="100"/>
    </row>
    <row r="196" spans="1:12" x14ac:dyDescent="0.25">
      <c r="A196" s="695" t="str">
        <f t="shared" si="74"/>
        <v>Chemical Safety</v>
      </c>
      <c r="B196" s="620"/>
      <c r="C196" s="733"/>
      <c r="D196" s="733"/>
      <c r="E196" s="733"/>
      <c r="F196" s="733"/>
      <c r="G196" s="733"/>
      <c r="H196" s="733"/>
      <c r="I196" s="408">
        <f t="shared" si="39"/>
        <v>0</v>
      </c>
      <c r="J196" s="408" t="str">
        <f t="shared" si="40"/>
        <v/>
      </c>
      <c r="K196" s="735"/>
      <c r="L196" s="100"/>
    </row>
    <row r="197" spans="1:12" x14ac:dyDescent="0.25">
      <c r="A197" s="414" t="str">
        <f t="shared" si="74"/>
        <v>Economic and environmental services</v>
      </c>
      <c r="B197" s="620"/>
      <c r="C197" s="605">
        <f t="shared" ref="C197:H197" si="75">C198+C209+C214</f>
        <v>326641282.88000005</v>
      </c>
      <c r="D197" s="605">
        <f t="shared" si="75"/>
        <v>288173315.58344549</v>
      </c>
      <c r="E197" s="605">
        <f t="shared" si="75"/>
        <v>294605680.61754364</v>
      </c>
      <c r="F197" s="605">
        <f t="shared" si="75"/>
        <v>28803047.920000002</v>
      </c>
      <c r="G197" s="605">
        <f t="shared" si="75"/>
        <v>297043862.05999994</v>
      </c>
      <c r="H197" s="605">
        <f t="shared" si="75"/>
        <v>270055207.23274827</v>
      </c>
      <c r="I197" s="605">
        <f t="shared" si="39"/>
        <v>26988654.827251673</v>
      </c>
      <c r="J197" s="605">
        <f t="shared" si="40"/>
        <v>9.9937546488379256E-2</v>
      </c>
      <c r="K197" s="606">
        <f>K198+K209+K214</f>
        <v>294605680.61754364</v>
      </c>
      <c r="L197" s="100"/>
    </row>
    <row r="198" spans="1:12" x14ac:dyDescent="0.25">
      <c r="A198" s="607" t="str">
        <f t="shared" si="74"/>
        <v>Planning and development</v>
      </c>
      <c r="B198" s="620"/>
      <c r="C198" s="611">
        <f t="shared" ref="C198:K198" si="76">SUM(C199:C208)</f>
        <v>83509759.390000015</v>
      </c>
      <c r="D198" s="611">
        <f t="shared" si="76"/>
        <v>92239503.875528902</v>
      </c>
      <c r="E198" s="611">
        <f t="shared" si="76"/>
        <v>94069123.875528887</v>
      </c>
      <c r="F198" s="611">
        <f t="shared" si="76"/>
        <v>6426123.6600000011</v>
      </c>
      <c r="G198" s="611">
        <f t="shared" si="76"/>
        <v>61183879.950000003</v>
      </c>
      <c r="H198" s="611">
        <f t="shared" si="76"/>
        <v>86230030.219234824</v>
      </c>
      <c r="I198" s="611">
        <f t="shared" si="39"/>
        <v>-25046150.269234821</v>
      </c>
      <c r="J198" s="611">
        <f t="shared" si="40"/>
        <v>-0.29045739872242238</v>
      </c>
      <c r="K198" s="614">
        <f t="shared" si="76"/>
        <v>94069123.875528887</v>
      </c>
      <c r="L198" s="100"/>
    </row>
    <row r="199" spans="1:12" x14ac:dyDescent="0.25">
      <c r="A199" s="695" t="str">
        <f t="shared" si="74"/>
        <v>Billboards</v>
      </c>
      <c r="B199" s="620"/>
      <c r="C199" s="733"/>
      <c r="D199" s="733"/>
      <c r="E199" s="733"/>
      <c r="F199" s="733"/>
      <c r="G199" s="733"/>
      <c r="H199" s="733"/>
      <c r="I199" s="408">
        <f t="shared" si="39"/>
        <v>0</v>
      </c>
      <c r="J199" s="408" t="str">
        <f t="shared" si="40"/>
        <v/>
      </c>
      <c r="K199" s="735"/>
      <c r="L199" s="100"/>
    </row>
    <row r="200" spans="1:12" ht="22.5" x14ac:dyDescent="0.25">
      <c r="A200" s="695" t="str">
        <f t="shared" si="74"/>
        <v>Corporate Wide Strategic Planning (IDPs, LEDs)</v>
      </c>
      <c r="B200" s="620"/>
      <c r="C200" s="733">
        <v>5500706.7299999995</v>
      </c>
      <c r="D200" s="733">
        <v>12848610.792359998</v>
      </c>
      <c r="E200" s="733">
        <v>12930492.792359998</v>
      </c>
      <c r="F200" s="733">
        <v>802533.47999999986</v>
      </c>
      <c r="G200" s="733">
        <v>6302226.6100000003</v>
      </c>
      <c r="H200" s="733">
        <f>E200/12*11</f>
        <v>11852951.726329999</v>
      </c>
      <c r="I200" s="408">
        <f t="shared" si="39"/>
        <v>-5550725.1163299987</v>
      </c>
      <c r="J200" s="408">
        <f t="shared" si="40"/>
        <v>-0.46829897265165499</v>
      </c>
      <c r="K200" s="735">
        <f t="shared" ref="K200" si="77">E200</f>
        <v>12930492.792359998</v>
      </c>
      <c r="L200" s="100"/>
    </row>
    <row r="201" spans="1:12" x14ac:dyDescent="0.25">
      <c r="A201" s="695" t="str">
        <f t="shared" si="74"/>
        <v>Central City Improvement District</v>
      </c>
      <c r="B201" s="620"/>
      <c r="C201" s="733"/>
      <c r="D201" s="733"/>
      <c r="E201" s="733">
        <v>0</v>
      </c>
      <c r="F201" s="733"/>
      <c r="G201" s="733"/>
      <c r="H201" s="733"/>
      <c r="I201" s="408">
        <f t="shared" si="39"/>
        <v>0</v>
      </c>
      <c r="J201" s="408" t="str">
        <f t="shared" si="40"/>
        <v/>
      </c>
      <c r="K201" s="735"/>
      <c r="L201" s="100"/>
    </row>
    <row r="202" spans="1:12" x14ac:dyDescent="0.25">
      <c r="A202" s="695" t="str">
        <f t="shared" si="74"/>
        <v>Development Facilitation</v>
      </c>
      <c r="B202" s="620"/>
      <c r="C202" s="733"/>
      <c r="D202" s="733"/>
      <c r="E202" s="733">
        <v>0</v>
      </c>
      <c r="F202" s="733"/>
      <c r="G202" s="733"/>
      <c r="H202" s="733"/>
      <c r="I202" s="408">
        <f>G202-H202</f>
        <v>0</v>
      </c>
      <c r="J202" s="408" t="str">
        <f>IF(I202=0,"",I202/H202)</f>
        <v/>
      </c>
      <c r="K202" s="735"/>
      <c r="L202" s="100"/>
    </row>
    <row r="203" spans="1:12" x14ac:dyDescent="0.25">
      <c r="A203" s="695" t="str">
        <f t="shared" si="74"/>
        <v>Economic Development/Planning</v>
      </c>
      <c r="B203" s="620"/>
      <c r="C203" s="733">
        <v>13287784.870000005</v>
      </c>
      <c r="D203" s="733">
        <v>12958288.606480801</v>
      </c>
      <c r="E203" s="733">
        <v>12958288.606480801</v>
      </c>
      <c r="F203" s="733">
        <v>675516.06000000017</v>
      </c>
      <c r="G203" s="733">
        <v>7566082.0500000017</v>
      </c>
      <c r="H203" s="733">
        <f>E203/12*11</f>
        <v>11878431.2226074</v>
      </c>
      <c r="I203" s="408">
        <f>G203-H203</f>
        <v>-4312349.1726073986</v>
      </c>
      <c r="J203" s="408">
        <f>IF(I203=0,"",I203/H203)</f>
        <v>-0.36304029478236161</v>
      </c>
      <c r="K203" s="735">
        <f t="shared" ref="K203" si="78">E203</f>
        <v>12958288.606480801</v>
      </c>
      <c r="L203" s="100"/>
    </row>
    <row r="204" spans="1:12" x14ac:dyDescent="0.25">
      <c r="A204" s="695" t="str">
        <f t="shared" si="74"/>
        <v>Regional Planning and Development</v>
      </c>
      <c r="B204" s="620"/>
      <c r="C204" s="733"/>
      <c r="D204" s="733"/>
      <c r="E204" s="733">
        <v>0</v>
      </c>
      <c r="F204" s="733"/>
      <c r="G204" s="733"/>
      <c r="H204" s="733"/>
      <c r="I204" s="408">
        <f>G204-H204</f>
        <v>0</v>
      </c>
      <c r="J204" s="408" t="str">
        <f>IF(I204=0,"",I204/H204)</f>
        <v/>
      </c>
      <c r="K204" s="735"/>
      <c r="L204" s="100"/>
    </row>
    <row r="205" spans="1:12" ht="22.5" x14ac:dyDescent="0.25">
      <c r="A205" s="695" t="str">
        <f t="shared" si="74"/>
        <v>Town Planning, Building Regulations and Enforcement, and City Engineer</v>
      </c>
      <c r="B205" s="620"/>
      <c r="C205" s="733">
        <v>64721267.790000007</v>
      </c>
      <c r="D205" s="733">
        <v>66432604.476688094</v>
      </c>
      <c r="E205" s="733">
        <v>68180342.476688087</v>
      </c>
      <c r="F205" s="733">
        <v>4948074.120000001</v>
      </c>
      <c r="G205" s="733">
        <v>47315571.289999999</v>
      </c>
      <c r="H205" s="733">
        <f>E205/12*11</f>
        <v>62498647.270297416</v>
      </c>
      <c r="I205" s="408">
        <f>G205-H205</f>
        <v>-15183075.980297416</v>
      </c>
      <c r="J205" s="408">
        <f>IF(I205=0,"",I205/H205)</f>
        <v>-0.24293447367961191</v>
      </c>
      <c r="K205" s="735">
        <f t="shared" ref="K205" si="79">E205</f>
        <v>68180342.476688087</v>
      </c>
      <c r="L205" s="100"/>
    </row>
    <row r="206" spans="1:12" x14ac:dyDescent="0.25">
      <c r="A206" s="695" t="str">
        <f t="shared" si="74"/>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74"/>
        <v>Provincial Planning</v>
      </c>
      <c r="B207" s="620"/>
      <c r="C207" s="733"/>
      <c r="D207" s="733"/>
      <c r="E207" s="733"/>
      <c r="F207" s="733"/>
      <c r="G207" s="733"/>
      <c r="H207" s="733"/>
      <c r="I207" s="408">
        <f t="shared" si="39"/>
        <v>0</v>
      </c>
      <c r="J207" s="408" t="str">
        <f t="shared" si="40"/>
        <v/>
      </c>
      <c r="K207" s="735"/>
      <c r="L207" s="100"/>
    </row>
    <row r="208" spans="1:12" x14ac:dyDescent="0.25">
      <c r="A208" s="695" t="str">
        <f t="shared" si="74"/>
        <v>Support to Local Municipalities</v>
      </c>
      <c r="B208" s="620"/>
      <c r="C208" s="733"/>
      <c r="D208" s="733"/>
      <c r="E208" s="733"/>
      <c r="F208" s="733"/>
      <c r="G208" s="733"/>
      <c r="H208" s="733"/>
      <c r="I208" s="408">
        <f t="shared" si="39"/>
        <v>0</v>
      </c>
      <c r="J208" s="408" t="str">
        <f t="shared" si="40"/>
        <v/>
      </c>
      <c r="K208" s="735"/>
      <c r="L208" s="100"/>
    </row>
    <row r="209" spans="1:12" x14ac:dyDescent="0.25">
      <c r="A209" s="607" t="str">
        <f t="shared" si="74"/>
        <v>Road transport</v>
      </c>
      <c r="B209" s="620"/>
      <c r="C209" s="611">
        <f t="shared" ref="C209:H209" si="80">SUM(C210:C213)</f>
        <v>222698043.43000001</v>
      </c>
      <c r="D209" s="611">
        <f t="shared" si="80"/>
        <v>171068986.74871668</v>
      </c>
      <c r="E209" s="611">
        <f t="shared" si="80"/>
        <v>175671731.78281486</v>
      </c>
      <c r="F209" s="611">
        <f t="shared" si="80"/>
        <v>20288427.610000003</v>
      </c>
      <c r="G209" s="611">
        <f t="shared" si="80"/>
        <v>216720501.33999997</v>
      </c>
      <c r="H209" s="611">
        <f t="shared" si="80"/>
        <v>161032420.80091357</v>
      </c>
      <c r="I209" s="611">
        <f t="shared" si="39"/>
        <v>55688080.539086401</v>
      </c>
      <c r="J209" s="611">
        <f t="shared" si="40"/>
        <v>0.34581906092024961</v>
      </c>
      <c r="K209" s="614">
        <f>SUM(K210:K213)</f>
        <v>175671731.78281486</v>
      </c>
      <c r="L209" s="100"/>
    </row>
    <row r="210" spans="1:12" x14ac:dyDescent="0.25">
      <c r="A210" s="695" t="str">
        <f t="shared" si="74"/>
        <v>Public Transport</v>
      </c>
      <c r="B210" s="620"/>
      <c r="C210" s="733">
        <v>6531463.5099999988</v>
      </c>
      <c r="D210" s="733">
        <v>6112737.5899952119</v>
      </c>
      <c r="E210" s="733">
        <v>12141552.624093361</v>
      </c>
      <c r="F210" s="733">
        <v>851674.9600000002</v>
      </c>
      <c r="G210" s="733">
        <v>7113539.7299999995</v>
      </c>
      <c r="H210" s="733">
        <f t="shared" ref="H210:H213" si="81">E210/12*11</f>
        <v>11129756.57208558</v>
      </c>
      <c r="I210" s="408">
        <f t="shared" si="39"/>
        <v>-4016216.8420855803</v>
      </c>
      <c r="J210" s="408">
        <f t="shared" si="40"/>
        <v>-0.36085396981265605</v>
      </c>
      <c r="K210" s="735">
        <f t="shared" ref="K210:K213" si="82">E210</f>
        <v>12141552.624093361</v>
      </c>
      <c r="L210" s="100"/>
    </row>
    <row r="211" spans="1:12" x14ac:dyDescent="0.25">
      <c r="A211" s="695" t="str">
        <f t="shared" si="74"/>
        <v>Road and Traffic Regulation</v>
      </c>
      <c r="B211" s="620"/>
      <c r="C211" s="733"/>
      <c r="D211" s="733">
        <v>75071897.514813796</v>
      </c>
      <c r="E211" s="733">
        <v>75071897.514813796</v>
      </c>
      <c r="F211" s="733"/>
      <c r="G211" s="733"/>
      <c r="H211" s="733">
        <f t="shared" si="81"/>
        <v>68815906.055245981</v>
      </c>
      <c r="I211" s="408">
        <f>G211-H211</f>
        <v>-68815906.055245981</v>
      </c>
      <c r="J211" s="408">
        <f>IF(I211=0,"",I211/H211)</f>
        <v>-1</v>
      </c>
      <c r="K211" s="735">
        <f t="shared" si="82"/>
        <v>75071897.514813796</v>
      </c>
      <c r="L211" s="100"/>
    </row>
    <row r="212" spans="1:12" x14ac:dyDescent="0.25">
      <c r="A212" s="695" t="str">
        <f t="shared" si="74"/>
        <v>Roads</v>
      </c>
      <c r="B212" s="620"/>
      <c r="C212" s="733">
        <v>213742671.55000001</v>
      </c>
      <c r="D212" s="733">
        <v>86766270.60115768</v>
      </c>
      <c r="E212" s="733">
        <v>84823952.60115768</v>
      </c>
      <c r="F212" s="733">
        <v>19221671.300000001</v>
      </c>
      <c r="G212" s="733">
        <v>207461468.63999999</v>
      </c>
      <c r="H212" s="733">
        <f t="shared" si="81"/>
        <v>77755289.884394541</v>
      </c>
      <c r="I212" s="408">
        <f t="shared" si="39"/>
        <v>129706178.75560544</v>
      </c>
      <c r="J212" s="408">
        <f t="shared" si="40"/>
        <v>1.6681331771568306</v>
      </c>
      <c r="K212" s="735">
        <f t="shared" si="82"/>
        <v>84823952.60115768</v>
      </c>
      <c r="L212" s="100"/>
    </row>
    <row r="213" spans="1:12" x14ac:dyDescent="0.25">
      <c r="A213" s="695" t="str">
        <f t="shared" si="74"/>
        <v>Taxi Ranks</v>
      </c>
      <c r="B213" s="620"/>
      <c r="C213" s="733">
        <v>2423908.37</v>
      </c>
      <c r="D213" s="733">
        <v>3118081.04275</v>
      </c>
      <c r="E213" s="733">
        <v>3634329.04275</v>
      </c>
      <c r="F213" s="733">
        <v>215081.35</v>
      </c>
      <c r="G213" s="733">
        <v>2145492.9699999997</v>
      </c>
      <c r="H213" s="733">
        <f t="shared" si="81"/>
        <v>3331468.2891875003</v>
      </c>
      <c r="I213" s="408">
        <f t="shared" si="39"/>
        <v>-1185975.3191875005</v>
      </c>
      <c r="J213" s="408">
        <f t="shared" si="40"/>
        <v>-0.35599177787063485</v>
      </c>
      <c r="K213" s="735">
        <f t="shared" si="82"/>
        <v>3634329.04275</v>
      </c>
      <c r="L213" s="100"/>
    </row>
    <row r="214" spans="1:12" x14ac:dyDescent="0.25">
      <c r="A214" s="607" t="str">
        <f t="shared" si="74"/>
        <v>Environmental protection</v>
      </c>
      <c r="B214" s="620"/>
      <c r="C214" s="611">
        <f t="shared" ref="C214:K214" si="83">SUM(C215:C220)</f>
        <v>20433480.060000002</v>
      </c>
      <c r="D214" s="611">
        <f t="shared" si="83"/>
        <v>24864824.959199883</v>
      </c>
      <c r="E214" s="611">
        <f t="shared" si="83"/>
        <v>24864824.959199883</v>
      </c>
      <c r="F214" s="611">
        <f t="shared" si="83"/>
        <v>2088496.65</v>
      </c>
      <c r="G214" s="611">
        <f t="shared" si="83"/>
        <v>19139480.77</v>
      </c>
      <c r="H214" s="611">
        <f t="shared" si="83"/>
        <v>22792756.212599892</v>
      </c>
      <c r="I214" s="611">
        <f t="shared" si="39"/>
        <v>-3653275.4425998926</v>
      </c>
      <c r="J214" s="611">
        <f t="shared" si="40"/>
        <v>-0.16028230234746041</v>
      </c>
      <c r="K214" s="614">
        <f t="shared" si="83"/>
        <v>24864824.959199883</v>
      </c>
      <c r="L214" s="100"/>
    </row>
    <row r="215" spans="1:12" x14ac:dyDescent="0.25">
      <c r="A215" s="695" t="str">
        <f t="shared" si="74"/>
        <v>Biodiversity and Landscape</v>
      </c>
      <c r="B215" s="620"/>
      <c r="C215" s="733"/>
      <c r="D215" s="733"/>
      <c r="E215" s="733"/>
      <c r="F215" s="733"/>
      <c r="G215" s="733"/>
      <c r="H215" s="733"/>
      <c r="I215" s="408">
        <f t="shared" si="39"/>
        <v>0</v>
      </c>
      <c r="J215" s="408" t="str">
        <f t="shared" si="40"/>
        <v/>
      </c>
      <c r="K215" s="735"/>
      <c r="L215" s="100"/>
    </row>
    <row r="216" spans="1:12" x14ac:dyDescent="0.25">
      <c r="A216" s="695" t="str">
        <f t="shared" si="74"/>
        <v>Coastal Protection</v>
      </c>
      <c r="B216" s="620"/>
      <c r="C216" s="733"/>
      <c r="D216" s="733"/>
      <c r="E216" s="733"/>
      <c r="F216" s="733"/>
      <c r="G216" s="733"/>
      <c r="H216" s="733"/>
      <c r="I216" s="408">
        <f t="shared" si="39"/>
        <v>0</v>
      </c>
      <c r="J216" s="408" t="str">
        <f t="shared" si="40"/>
        <v/>
      </c>
      <c r="K216" s="735"/>
      <c r="L216" s="100"/>
    </row>
    <row r="217" spans="1:12" x14ac:dyDescent="0.25">
      <c r="A217" s="695" t="str">
        <f t="shared" si="74"/>
        <v>Indigenous Forests</v>
      </c>
      <c r="B217" s="620"/>
      <c r="C217" s="733"/>
      <c r="D217" s="733"/>
      <c r="E217" s="733"/>
      <c r="F217" s="733"/>
      <c r="G217" s="733"/>
      <c r="H217" s="733"/>
      <c r="I217" s="408">
        <f t="shared" si="39"/>
        <v>0</v>
      </c>
      <c r="J217" s="408" t="str">
        <f t="shared" si="40"/>
        <v/>
      </c>
      <c r="K217" s="735"/>
      <c r="L217" s="100"/>
    </row>
    <row r="218" spans="1:12" x14ac:dyDescent="0.25">
      <c r="A218" s="695" t="str">
        <f t="shared" si="74"/>
        <v>Nature Conservation</v>
      </c>
      <c r="B218" s="620"/>
      <c r="C218" s="733">
        <v>4966902.9400000004</v>
      </c>
      <c r="D218" s="733">
        <v>7953351.9763347059</v>
      </c>
      <c r="E218" s="733">
        <v>7953351.9763347059</v>
      </c>
      <c r="F218" s="733">
        <v>352535.27</v>
      </c>
      <c r="G218" s="733">
        <v>3925194.2899999996</v>
      </c>
      <c r="H218" s="733">
        <f t="shared" ref="H218:H219" si="84">E218/12*11</f>
        <v>7290572.6449734801</v>
      </c>
      <c r="I218" s="408">
        <f>G218-H218</f>
        <v>-3365378.3549734806</v>
      </c>
      <c r="J218" s="408">
        <f>IF(I218=0,"",I218/H218)</f>
        <v>-0.46160686119680278</v>
      </c>
      <c r="K218" s="735">
        <f t="shared" ref="K218:K219" si="85">E218</f>
        <v>7953351.9763347059</v>
      </c>
      <c r="L218" s="100"/>
    </row>
    <row r="219" spans="1:12" x14ac:dyDescent="0.25">
      <c r="A219" s="695" t="str">
        <f t="shared" si="74"/>
        <v>Pollution Control</v>
      </c>
      <c r="B219" s="620"/>
      <c r="C219" s="733">
        <v>15466577.120000001</v>
      </c>
      <c r="D219" s="733">
        <v>16911472.982865177</v>
      </c>
      <c r="E219" s="733">
        <v>16911472.982865177</v>
      </c>
      <c r="F219" s="733">
        <v>1735961.38</v>
      </c>
      <c r="G219" s="733">
        <v>15214286.479999999</v>
      </c>
      <c r="H219" s="733">
        <f t="shared" si="84"/>
        <v>15502183.567626413</v>
      </c>
      <c r="I219" s="408">
        <f>G219-H219</f>
        <v>-287897.08762641437</v>
      </c>
      <c r="J219" s="408">
        <f>IF(I219=0,"",I219/H219)</f>
        <v>-1.857138940269272E-2</v>
      </c>
      <c r="K219" s="735">
        <f t="shared" si="85"/>
        <v>16911472.982865177</v>
      </c>
      <c r="L219" s="100"/>
    </row>
    <row r="220" spans="1:12" x14ac:dyDescent="0.25">
      <c r="A220" s="695" t="str">
        <f t="shared" si="74"/>
        <v>Soil Conservation</v>
      </c>
      <c r="B220" s="620"/>
      <c r="C220" s="733"/>
      <c r="D220" s="733">
        <v>0</v>
      </c>
      <c r="E220" s="733"/>
      <c r="F220" s="733"/>
      <c r="G220" s="733"/>
      <c r="H220" s="733"/>
      <c r="I220" s="408">
        <f t="shared" si="39"/>
        <v>0</v>
      </c>
      <c r="J220" s="408" t="str">
        <f t="shared" si="40"/>
        <v/>
      </c>
      <c r="K220" s="735"/>
      <c r="L220" s="100"/>
    </row>
    <row r="221" spans="1:12" x14ac:dyDescent="0.25">
      <c r="A221" s="414" t="str">
        <f t="shared" si="74"/>
        <v>Trading services</v>
      </c>
      <c r="B221" s="620"/>
      <c r="C221" s="605">
        <f>C222+C226+C230+C235</f>
        <v>3649462488.5699983</v>
      </c>
      <c r="D221" s="605">
        <f t="shared" ref="D221:I221" si="86">D222+D226+D230+D235</f>
        <v>3353046546.6774907</v>
      </c>
      <c r="E221" s="605">
        <f t="shared" si="86"/>
        <v>3358591185.4474902</v>
      </c>
      <c r="F221" s="605">
        <f t="shared" si="86"/>
        <v>208075326.30999997</v>
      </c>
      <c r="G221" s="605">
        <f t="shared" si="86"/>
        <v>3055433231.4400005</v>
      </c>
      <c r="H221" s="605">
        <f t="shared" si="86"/>
        <v>3078708586.6601996</v>
      </c>
      <c r="I221" s="605">
        <f t="shared" si="86"/>
        <v>-23275355.220199034</v>
      </c>
      <c r="J221" s="605">
        <f t="shared" si="40"/>
        <v>-7.56010338914482E-3</v>
      </c>
      <c r="K221" s="606">
        <f>K222+K226+K230+K235</f>
        <v>3358591185.4474902</v>
      </c>
      <c r="L221" s="100"/>
    </row>
    <row r="222" spans="1:12" x14ac:dyDescent="0.25">
      <c r="A222" s="607" t="str">
        <f t="shared" si="74"/>
        <v>Energy sources</v>
      </c>
      <c r="B222" s="620"/>
      <c r="C222" s="611">
        <f t="shared" ref="C222:K222" si="87">SUM(C223:C225)</f>
        <v>2064060141.4699986</v>
      </c>
      <c r="D222" s="611">
        <f t="shared" si="87"/>
        <v>2291332272.7237678</v>
      </c>
      <c r="E222" s="611">
        <f t="shared" si="87"/>
        <v>2205525042.7237678</v>
      </c>
      <c r="F222" s="611">
        <f t="shared" si="87"/>
        <v>90224944.359999985</v>
      </c>
      <c r="G222" s="611">
        <f t="shared" si="87"/>
        <v>1888339324.160001</v>
      </c>
      <c r="H222" s="611">
        <f t="shared" si="87"/>
        <v>2021731289.1634538</v>
      </c>
      <c r="I222" s="611">
        <f t="shared" si="39"/>
        <v>-133391965.00345278</v>
      </c>
      <c r="J222" s="611">
        <f t="shared" si="40"/>
        <v>-6.5979077297976294E-2</v>
      </c>
      <c r="K222" s="614">
        <f t="shared" si="87"/>
        <v>2205525042.7237678</v>
      </c>
      <c r="L222" s="100"/>
    </row>
    <row r="223" spans="1:12" x14ac:dyDescent="0.25">
      <c r="A223" s="695" t="str">
        <f t="shared" si="74"/>
        <v xml:space="preserve">Electricity </v>
      </c>
      <c r="B223" s="620"/>
      <c r="C223" s="733">
        <v>2042085115.6899986</v>
      </c>
      <c r="D223" s="733">
        <v>2270836245.4232864</v>
      </c>
      <c r="E223" s="733">
        <v>2184302100.4232864</v>
      </c>
      <c r="F223" s="733">
        <v>89546399.649999991</v>
      </c>
      <c r="G223" s="733">
        <v>1866228525.1300011</v>
      </c>
      <c r="H223" s="733">
        <f t="shared" ref="H223:H224" si="88">E223/12*11</f>
        <v>2002276925.3880126</v>
      </c>
      <c r="I223" s="408">
        <f t="shared" si="39"/>
        <v>-136048400.25801158</v>
      </c>
      <c r="J223" s="408">
        <f t="shared" si="40"/>
        <v>-6.7946845180592255E-2</v>
      </c>
      <c r="K223" s="735">
        <f t="shared" ref="K223:K224" si="89">E223</f>
        <v>2184302100.4232864</v>
      </c>
      <c r="L223" s="100"/>
    </row>
    <row r="224" spans="1:12" x14ac:dyDescent="0.25">
      <c r="A224" s="695" t="str">
        <f t="shared" ref="A224:A246" si="90">A102</f>
        <v>Street Lighting and Signal Systems</v>
      </c>
      <c r="B224" s="620"/>
      <c r="C224" s="733">
        <v>21975025.780000001</v>
      </c>
      <c r="D224" s="733">
        <v>20496027.300481234</v>
      </c>
      <c r="E224" s="733">
        <v>21222942.300481234</v>
      </c>
      <c r="F224" s="733">
        <v>678544.71</v>
      </c>
      <c r="G224" s="733">
        <v>22110799.030000001</v>
      </c>
      <c r="H224" s="733">
        <f t="shared" si="88"/>
        <v>19454363.775441132</v>
      </c>
      <c r="I224" s="408">
        <f>G224-H224</f>
        <v>2656435.2545588687</v>
      </c>
      <c r="J224" s="408">
        <f>IF(I224=0,"",I224/H224)</f>
        <v>0.13654701254801807</v>
      </c>
      <c r="K224" s="735">
        <f t="shared" si="89"/>
        <v>21222942.300481234</v>
      </c>
      <c r="L224" s="100"/>
    </row>
    <row r="225" spans="1:12" x14ac:dyDescent="0.25">
      <c r="A225" s="695" t="str">
        <f t="shared" si="90"/>
        <v>Nonelectric Energy</v>
      </c>
      <c r="B225" s="620"/>
      <c r="C225" s="733"/>
      <c r="D225" s="733">
        <v>0</v>
      </c>
      <c r="E225" s="733"/>
      <c r="F225" s="733"/>
      <c r="G225" s="733"/>
      <c r="H225" s="733"/>
      <c r="I225" s="408">
        <f t="shared" si="39"/>
        <v>0</v>
      </c>
      <c r="J225" s="408" t="str">
        <f t="shared" si="40"/>
        <v/>
      </c>
      <c r="K225" s="735"/>
      <c r="L225" s="100"/>
    </row>
    <row r="226" spans="1:12" x14ac:dyDescent="0.25">
      <c r="A226" s="607" t="str">
        <f t="shared" si="90"/>
        <v>Water management</v>
      </c>
      <c r="B226" s="620"/>
      <c r="C226" s="611">
        <f t="shared" ref="C226:K226" si="91">SUM(C227:C229)</f>
        <v>1207807520.1199999</v>
      </c>
      <c r="D226" s="611">
        <f t="shared" si="91"/>
        <v>0</v>
      </c>
      <c r="E226" s="611">
        <f t="shared" si="91"/>
        <v>31023406.77</v>
      </c>
      <c r="F226" s="611">
        <f t="shared" si="91"/>
        <v>78667101.569999963</v>
      </c>
      <c r="G226" s="611">
        <f t="shared" si="91"/>
        <v>829007526.06999969</v>
      </c>
      <c r="H226" s="611">
        <f t="shared" si="91"/>
        <v>28438122.872499999</v>
      </c>
      <c r="I226" s="611">
        <f t="shared" si="39"/>
        <v>800569403.19749975</v>
      </c>
      <c r="J226" s="611">
        <f t="shared" si="40"/>
        <v>28.151274498207471</v>
      </c>
      <c r="K226" s="614">
        <f t="shared" si="91"/>
        <v>31023406.77</v>
      </c>
      <c r="L226" s="100"/>
    </row>
    <row r="227" spans="1:12" x14ac:dyDescent="0.25">
      <c r="A227" s="695" t="str">
        <f t="shared" si="90"/>
        <v>Water Treatment</v>
      </c>
      <c r="B227" s="620"/>
      <c r="C227" s="733"/>
      <c r="D227" s="733"/>
      <c r="E227" s="733"/>
      <c r="F227" s="733"/>
      <c r="G227" s="733"/>
      <c r="H227" s="733"/>
      <c r="I227" s="408">
        <f t="shared" si="39"/>
        <v>0</v>
      </c>
      <c r="J227" s="408" t="str">
        <f t="shared" si="40"/>
        <v/>
      </c>
      <c r="K227" s="735"/>
      <c r="L227" s="100"/>
    </row>
    <row r="228" spans="1:12" x14ac:dyDescent="0.25">
      <c r="A228" s="695" t="str">
        <f t="shared" si="90"/>
        <v>Water Distribution</v>
      </c>
      <c r="B228" s="620"/>
      <c r="C228" s="733">
        <v>1207807520.1199999</v>
      </c>
      <c r="D228" s="733"/>
      <c r="E228" s="733">
        <v>31023406.77</v>
      </c>
      <c r="F228" s="733">
        <v>78667101.569999963</v>
      </c>
      <c r="G228" s="733">
        <v>829007526.06999969</v>
      </c>
      <c r="H228" s="733">
        <f>E228/12*11</f>
        <v>28438122.872499999</v>
      </c>
      <c r="I228" s="408">
        <f>G228-H228</f>
        <v>800569403.19749975</v>
      </c>
      <c r="J228" s="408">
        <f>IF(I228=0,"",I228/H228)</f>
        <v>28.151274498207471</v>
      </c>
      <c r="K228" s="735">
        <f t="shared" ref="K228" si="92">E228</f>
        <v>31023406.77</v>
      </c>
      <c r="L228" s="100"/>
    </row>
    <row r="229" spans="1:12" x14ac:dyDescent="0.25">
      <c r="A229" s="695" t="str">
        <f t="shared" si="90"/>
        <v>Water Storage</v>
      </c>
      <c r="B229" s="620"/>
      <c r="C229" s="733"/>
      <c r="D229" s="733"/>
      <c r="E229" s="733"/>
      <c r="F229" s="733"/>
      <c r="G229" s="733"/>
      <c r="H229" s="733"/>
      <c r="I229" s="408">
        <f t="shared" si="39"/>
        <v>0</v>
      </c>
      <c r="J229" s="408" t="str">
        <f t="shared" si="40"/>
        <v/>
      </c>
      <c r="K229" s="735"/>
      <c r="L229" s="100"/>
    </row>
    <row r="230" spans="1:12" x14ac:dyDescent="0.25">
      <c r="A230" s="607" t="str">
        <f t="shared" si="90"/>
        <v>Waste water management</v>
      </c>
      <c r="B230" s="620"/>
      <c r="C230" s="611">
        <f t="shared" ref="C230:K230" si="93">SUM(C231:C234)</f>
        <v>252760434.96000001</v>
      </c>
      <c r="D230" s="611">
        <f t="shared" si="93"/>
        <v>931929869.0260967</v>
      </c>
      <c r="E230" s="611">
        <f t="shared" si="93"/>
        <v>995608331.02609658</v>
      </c>
      <c r="F230" s="611">
        <f t="shared" si="93"/>
        <v>27147382.670000006</v>
      </c>
      <c r="G230" s="611">
        <f t="shared" si="93"/>
        <v>229091884.64999995</v>
      </c>
      <c r="H230" s="611">
        <f t="shared" si="93"/>
        <v>912640970.10725534</v>
      </c>
      <c r="I230" s="611">
        <f t="shared" si="39"/>
        <v>-683549085.45725536</v>
      </c>
      <c r="J230" s="611">
        <f t="shared" si="40"/>
        <v>-0.7489791800349741</v>
      </c>
      <c r="K230" s="614">
        <f t="shared" si="93"/>
        <v>995608331.02609658</v>
      </c>
      <c r="L230" s="100"/>
    </row>
    <row r="231" spans="1:12" x14ac:dyDescent="0.25">
      <c r="A231" s="695" t="str">
        <f t="shared" si="90"/>
        <v>Public Toilets</v>
      </c>
      <c r="B231" s="620"/>
      <c r="C231" s="733">
        <v>2974590.1199999996</v>
      </c>
      <c r="D231" s="733">
        <v>1325140.728374806</v>
      </c>
      <c r="E231" s="733">
        <v>1175140.728374806</v>
      </c>
      <c r="F231" s="733">
        <v>436382.07</v>
      </c>
      <c r="G231" s="733">
        <v>2949198.0200000005</v>
      </c>
      <c r="H231" s="733">
        <f t="shared" ref="H231:H234" si="94">E231/12*11</f>
        <v>1077212.3343435721</v>
      </c>
      <c r="I231" s="408">
        <f t="shared" si="39"/>
        <v>1871985.6856564283</v>
      </c>
      <c r="J231" s="408">
        <f t="shared" si="40"/>
        <v>1.7378056544415381</v>
      </c>
      <c r="K231" s="735">
        <f t="shared" ref="K231:K234" si="95">E231</f>
        <v>1175140.728374806</v>
      </c>
      <c r="L231" s="100"/>
    </row>
    <row r="232" spans="1:12" x14ac:dyDescent="0.25">
      <c r="A232" s="695" t="str">
        <f t="shared" si="90"/>
        <v>Sewerage</v>
      </c>
      <c r="B232" s="620"/>
      <c r="C232" s="733">
        <v>223021252.53</v>
      </c>
      <c r="D232" s="733">
        <v>225241153.38453153</v>
      </c>
      <c r="E232" s="733">
        <v>289082095.3845315</v>
      </c>
      <c r="F232" s="733">
        <v>24677860.230000004</v>
      </c>
      <c r="G232" s="733">
        <v>201928655.92999995</v>
      </c>
      <c r="H232" s="733">
        <f t="shared" si="94"/>
        <v>264991920.76915386</v>
      </c>
      <c r="I232" s="408">
        <f t="shared" si="39"/>
        <v>-63063264.839153916</v>
      </c>
      <c r="J232" s="408">
        <f t="shared" si="40"/>
        <v>-0.23798183980896195</v>
      </c>
      <c r="K232" s="735">
        <f t="shared" si="95"/>
        <v>289082095.3845315</v>
      </c>
      <c r="L232" s="100"/>
    </row>
    <row r="233" spans="1:12" x14ac:dyDescent="0.25">
      <c r="A233" s="695" t="str">
        <f t="shared" si="90"/>
        <v>Storm Water Management</v>
      </c>
      <c r="B233" s="620"/>
      <c r="C233" s="733">
        <v>26764592.310000006</v>
      </c>
      <c r="D233" s="733">
        <v>560143.7006000001</v>
      </c>
      <c r="E233" s="733">
        <v>547663.7006000001</v>
      </c>
      <c r="F233" s="733">
        <v>2033140.37</v>
      </c>
      <c r="G233" s="733">
        <v>24214030.699999999</v>
      </c>
      <c r="H233" s="733">
        <f t="shared" si="94"/>
        <v>502025.0588833334</v>
      </c>
      <c r="I233" s="408">
        <f>G233-H233</f>
        <v>23712005.641116668</v>
      </c>
      <c r="J233" s="408">
        <f>IF(I233=0,"",I233/H233)</f>
        <v>47.23271323120774</v>
      </c>
      <c r="K233" s="735">
        <f t="shared" si="95"/>
        <v>547663.7006000001</v>
      </c>
      <c r="L233" s="100"/>
    </row>
    <row r="234" spans="1:12" x14ac:dyDescent="0.25">
      <c r="A234" s="695" t="str">
        <f t="shared" si="90"/>
        <v>Waste Water Treatment</v>
      </c>
      <c r="B234" s="620"/>
      <c r="C234" s="733"/>
      <c r="D234" s="733">
        <v>704803431.21259034</v>
      </c>
      <c r="E234" s="733">
        <v>704803431.21259034</v>
      </c>
      <c r="F234" s="733"/>
      <c r="G234" s="733"/>
      <c r="H234" s="733">
        <f t="shared" si="94"/>
        <v>646069811.94487453</v>
      </c>
      <c r="I234" s="408">
        <f t="shared" si="39"/>
        <v>-646069811.94487453</v>
      </c>
      <c r="J234" s="408">
        <f t="shared" si="40"/>
        <v>-1</v>
      </c>
      <c r="K234" s="735">
        <f t="shared" si="95"/>
        <v>704803431.21259034</v>
      </c>
      <c r="L234" s="100"/>
    </row>
    <row r="235" spans="1:12" x14ac:dyDescent="0.25">
      <c r="A235" s="607" t="str">
        <f t="shared" si="90"/>
        <v>Waste management</v>
      </c>
      <c r="B235" s="620"/>
      <c r="C235" s="611">
        <f t="shared" ref="C235:H235" si="96">SUM(C236:C239)</f>
        <v>124834392.02</v>
      </c>
      <c r="D235" s="611">
        <f t="shared" si="96"/>
        <v>129784404.92762612</v>
      </c>
      <c r="E235" s="611">
        <f t="shared" si="96"/>
        <v>126434404.92762612</v>
      </c>
      <c r="F235" s="611">
        <f t="shared" si="96"/>
        <v>12035897.710000001</v>
      </c>
      <c r="G235" s="611">
        <f t="shared" si="96"/>
        <v>108994496.55999996</v>
      </c>
      <c r="H235" s="611">
        <f t="shared" si="96"/>
        <v>115898204.5169906</v>
      </c>
      <c r="I235" s="611">
        <f t="shared" si="39"/>
        <v>-6903707.9569906443</v>
      </c>
      <c r="J235" s="611">
        <f t="shared" si="40"/>
        <v>-5.9566996622269199E-2</v>
      </c>
      <c r="K235" s="611">
        <f>SUM(K236:K239)</f>
        <v>126434404.92762612</v>
      </c>
      <c r="L235" s="100"/>
    </row>
    <row r="236" spans="1:12" x14ac:dyDescent="0.25">
      <c r="A236" s="695" t="str">
        <f t="shared" si="90"/>
        <v>Recycling</v>
      </c>
      <c r="B236" s="620"/>
      <c r="C236" s="733"/>
      <c r="D236" s="733"/>
      <c r="E236" s="733"/>
      <c r="F236" s="733"/>
      <c r="G236" s="733"/>
      <c r="H236" s="733"/>
      <c r="I236" s="408">
        <f>G236-H236</f>
        <v>0</v>
      </c>
      <c r="J236" s="408" t="str">
        <f>IF(I236=0,"",I236/H236)</f>
        <v/>
      </c>
      <c r="K236" s="735"/>
      <c r="L236" s="100"/>
    </row>
    <row r="237" spans="1:12" x14ac:dyDescent="0.25">
      <c r="A237" s="695" t="str">
        <f t="shared" si="90"/>
        <v>Solid Waste Disposal (Landfill Sites)</v>
      </c>
      <c r="B237" s="620"/>
      <c r="C237" s="733">
        <v>-15485353.230000006</v>
      </c>
      <c r="D237" s="733">
        <v>13353688.704158884</v>
      </c>
      <c r="E237" s="733">
        <v>11797688.704158884</v>
      </c>
      <c r="F237" s="733">
        <v>2255241.92</v>
      </c>
      <c r="G237" s="733">
        <v>6240510.6700000009</v>
      </c>
      <c r="H237" s="733">
        <f t="shared" ref="H237:H238" si="97">E237/12*11</f>
        <v>10814547.978812311</v>
      </c>
      <c r="I237" s="408">
        <f>G237-H237</f>
        <v>-4574037.30881231</v>
      </c>
      <c r="J237" s="408">
        <f>IF(I237=0,"",I237/H237)</f>
        <v>-0.4229522415336906</v>
      </c>
      <c r="K237" s="735">
        <f>E237</f>
        <v>11797688.704158884</v>
      </c>
      <c r="L237" s="100"/>
    </row>
    <row r="238" spans="1:12" x14ac:dyDescent="0.25">
      <c r="A238" s="695" t="str">
        <f t="shared" si="90"/>
        <v>Solid Waste Removal</v>
      </c>
      <c r="B238" s="620"/>
      <c r="C238" s="733">
        <v>140319745.25</v>
      </c>
      <c r="D238" s="733">
        <v>116430716.22346723</v>
      </c>
      <c r="E238" s="733">
        <v>114636716.22346723</v>
      </c>
      <c r="F238" s="733">
        <v>9780655.790000001</v>
      </c>
      <c r="G238" s="733">
        <v>102753985.88999996</v>
      </c>
      <c r="H238" s="733">
        <f t="shared" si="97"/>
        <v>105083656.53817829</v>
      </c>
      <c r="I238" s="408">
        <f>G238-H238</f>
        <v>-2329670.648178339</v>
      </c>
      <c r="J238" s="408">
        <f>IF(I238=0,"",I238/H238)</f>
        <v>-2.2169676283884721E-2</v>
      </c>
      <c r="K238" s="735">
        <f>E238</f>
        <v>114636716.22346723</v>
      </c>
      <c r="L238" s="100"/>
    </row>
    <row r="239" spans="1:12" x14ac:dyDescent="0.25">
      <c r="A239" s="695" t="str">
        <f t="shared" si="90"/>
        <v>Street Cleaning</v>
      </c>
      <c r="B239" s="415"/>
      <c r="C239" s="733"/>
      <c r="D239" s="733"/>
      <c r="E239" s="733"/>
      <c r="F239" s="733"/>
      <c r="G239" s="733"/>
      <c r="H239" s="733"/>
      <c r="I239" s="408">
        <f t="shared" si="39"/>
        <v>0</v>
      </c>
      <c r="J239" s="408" t="str">
        <f t="shared" si="40"/>
        <v/>
      </c>
      <c r="K239" s="735"/>
      <c r="L239" s="100"/>
    </row>
    <row r="240" spans="1:12" x14ac:dyDescent="0.25">
      <c r="A240" s="414" t="str">
        <f t="shared" si="90"/>
        <v>Other</v>
      </c>
      <c r="B240" s="415"/>
      <c r="C240" s="611">
        <f t="shared" ref="C240:K240" si="98">SUM(C241:C246)</f>
        <v>76856662.089999989</v>
      </c>
      <c r="D240" s="611">
        <f t="shared" si="98"/>
        <v>81300979.882271051</v>
      </c>
      <c r="E240" s="611">
        <f t="shared" si="98"/>
        <v>81300979.882271051</v>
      </c>
      <c r="F240" s="611">
        <f t="shared" si="98"/>
        <v>4872121.9200000018</v>
      </c>
      <c r="G240" s="611">
        <f t="shared" si="98"/>
        <v>59606545.400000013</v>
      </c>
      <c r="H240" s="611">
        <f t="shared" si="98"/>
        <v>74525898.225415125</v>
      </c>
      <c r="I240" s="611">
        <f t="shared" si="39"/>
        <v>-14919352.825415112</v>
      </c>
      <c r="J240" s="611">
        <f t="shared" si="40"/>
        <v>-0.20019017792028776</v>
      </c>
      <c r="K240" s="614">
        <f t="shared" si="98"/>
        <v>81300979.882271051</v>
      </c>
      <c r="L240" s="100"/>
    </row>
    <row r="241" spans="1:12" x14ac:dyDescent="0.25">
      <c r="A241" s="607" t="str">
        <f t="shared" si="90"/>
        <v>Abattoirs</v>
      </c>
      <c r="B241" s="415"/>
      <c r="C241" s="733"/>
      <c r="D241" s="733"/>
      <c r="E241" s="733"/>
      <c r="F241" s="733"/>
      <c r="G241" s="733"/>
      <c r="H241" s="733"/>
      <c r="I241" s="408">
        <f t="shared" si="39"/>
        <v>0</v>
      </c>
      <c r="J241" s="408" t="str">
        <f t="shared" si="40"/>
        <v/>
      </c>
      <c r="K241" s="735"/>
      <c r="L241" s="100"/>
    </row>
    <row r="242" spans="1:12" x14ac:dyDescent="0.25">
      <c r="A242" s="607" t="str">
        <f t="shared" si="90"/>
        <v>Air Transport</v>
      </c>
      <c r="B242" s="415"/>
      <c r="C242" s="733">
        <v>19394700.789999995</v>
      </c>
      <c r="D242" s="733">
        <v>30392698.58867228</v>
      </c>
      <c r="E242" s="733">
        <v>30392698.58867228</v>
      </c>
      <c r="F242" s="733">
        <v>2026708.4900000002</v>
      </c>
      <c r="G242" s="733">
        <v>20950634.790000007</v>
      </c>
      <c r="H242" s="733">
        <f t="shared" ref="H242:H246" si="99">E242/12*11</f>
        <v>27859973.706282925</v>
      </c>
      <c r="I242" s="408">
        <f t="shared" si="39"/>
        <v>-6909338.9162829183</v>
      </c>
      <c r="J242" s="408">
        <f t="shared" si="40"/>
        <v>-0.24800234878630695</v>
      </c>
      <c r="K242" s="735">
        <f t="shared" ref="K242:K246" si="100">E242</f>
        <v>30392698.58867228</v>
      </c>
      <c r="L242" s="100"/>
    </row>
    <row r="243" spans="1:12" x14ac:dyDescent="0.25">
      <c r="A243" s="607" t="str">
        <f t="shared" si="90"/>
        <v xml:space="preserve">Forestry </v>
      </c>
      <c r="B243" s="415"/>
      <c r="C243" s="733">
        <v>23074439.920000002</v>
      </c>
      <c r="D243" s="733">
        <v>5026381.4873491293</v>
      </c>
      <c r="E243" s="733">
        <v>5026381.4873491293</v>
      </c>
      <c r="F243" s="733">
        <v>91147.41</v>
      </c>
      <c r="G243" s="733">
        <v>7446968.9299999997</v>
      </c>
      <c r="H243" s="733">
        <f t="shared" si="99"/>
        <v>4607516.3634033687</v>
      </c>
      <c r="I243" s="408">
        <f>G243-H243</f>
        <v>2839452.566596631</v>
      </c>
      <c r="J243" s="408">
        <f>IF(I243=0,"",I243/H243)</f>
        <v>0.61626532444895166</v>
      </c>
      <c r="K243" s="735">
        <f t="shared" si="100"/>
        <v>5026381.4873491293</v>
      </c>
      <c r="L243" s="100"/>
    </row>
    <row r="244" spans="1:12" x14ac:dyDescent="0.25">
      <c r="A244" s="607" t="str">
        <f t="shared" si="90"/>
        <v>Licensing and Regulation</v>
      </c>
      <c r="B244" s="415"/>
      <c r="C244" s="733">
        <v>4080150.6200000006</v>
      </c>
      <c r="D244" s="733">
        <v>10803274.511466645</v>
      </c>
      <c r="E244" s="733">
        <v>10803274.511466645</v>
      </c>
      <c r="F244" s="733">
        <v>352752.04</v>
      </c>
      <c r="G244" s="733">
        <v>3959013.7600000002</v>
      </c>
      <c r="H244" s="733">
        <f t="shared" si="99"/>
        <v>9903001.635511091</v>
      </c>
      <c r="I244" s="408">
        <f t="shared" si="39"/>
        <v>-5943987.8755110912</v>
      </c>
      <c r="J244" s="408">
        <f t="shared" si="40"/>
        <v>-0.60022083144938543</v>
      </c>
      <c r="K244" s="735">
        <f t="shared" si="100"/>
        <v>10803274.511466645</v>
      </c>
      <c r="L244" s="100"/>
    </row>
    <row r="245" spans="1:12" x14ac:dyDescent="0.25">
      <c r="A245" s="607" t="str">
        <f t="shared" si="90"/>
        <v>Markets</v>
      </c>
      <c r="B245" s="415"/>
      <c r="C245" s="733">
        <v>27628357.369999997</v>
      </c>
      <c r="D245" s="733">
        <v>32893514.314352129</v>
      </c>
      <c r="E245" s="733">
        <v>32893514.314352129</v>
      </c>
      <c r="F245" s="733">
        <v>2367866.5800000005</v>
      </c>
      <c r="G245" s="733">
        <v>25581666.820000008</v>
      </c>
      <c r="H245" s="733">
        <f t="shared" si="99"/>
        <v>30152388.12148945</v>
      </c>
      <c r="I245" s="408">
        <f>G245-H245</f>
        <v>-4570721.3014894426</v>
      </c>
      <c r="J245" s="408">
        <f>IF(I245=0,"",I245/H245)</f>
        <v>-0.151587372883142</v>
      </c>
      <c r="K245" s="735">
        <f t="shared" si="100"/>
        <v>32893514.314352129</v>
      </c>
      <c r="L245" s="100"/>
    </row>
    <row r="246" spans="1:12" x14ac:dyDescent="0.25">
      <c r="A246" s="607" t="str">
        <f t="shared" si="90"/>
        <v>Tourism</v>
      </c>
      <c r="B246" s="415"/>
      <c r="C246" s="733">
        <v>2679013.3900000006</v>
      </c>
      <c r="D246" s="733">
        <v>2185110.9804308736</v>
      </c>
      <c r="E246" s="733">
        <v>2185110.9804308736</v>
      </c>
      <c r="F246" s="733">
        <v>33647.4</v>
      </c>
      <c r="G246" s="733">
        <v>1668261.1</v>
      </c>
      <c r="H246" s="733">
        <f t="shared" si="99"/>
        <v>2003018.3987283006</v>
      </c>
      <c r="I246" s="408">
        <f>G246-H246</f>
        <v>-334757.29872830049</v>
      </c>
      <c r="J246" s="408">
        <f>IF(I246=0,"",I246/H246)</f>
        <v>-0.16712642227392174</v>
      </c>
      <c r="K246" s="735">
        <f t="shared" si="100"/>
        <v>2185110.9804308736</v>
      </c>
      <c r="L246" s="100"/>
    </row>
    <row r="247" spans="1:12" x14ac:dyDescent="0.25">
      <c r="A247" s="615" t="str">
        <f>"Total "&amp;A127</f>
        <v>Total Expenditure - Functional</v>
      </c>
      <c r="B247" s="415">
        <v>3</v>
      </c>
      <c r="C247" s="545">
        <f t="shared" ref="C247:I247" si="101">C128+C148+C197+C221+C240</f>
        <v>5566648837.5499983</v>
      </c>
      <c r="D247" s="545">
        <f t="shared" si="101"/>
        <v>5516853313.5446301</v>
      </c>
      <c r="E247" s="545">
        <f t="shared" si="101"/>
        <v>5673151026.697073</v>
      </c>
      <c r="F247" s="545">
        <f t="shared" si="101"/>
        <v>393727535.93000001</v>
      </c>
      <c r="G247" s="545">
        <f t="shared" si="101"/>
        <v>4830298861.8999996</v>
      </c>
      <c r="H247" s="545">
        <f t="shared" si="101"/>
        <v>5200388441.1389847</v>
      </c>
      <c r="I247" s="545">
        <f t="shared" si="101"/>
        <v>-370089579.23898405</v>
      </c>
      <c r="J247" s="545">
        <f>IF(I247=0,"",I247/H247)</f>
        <v>-7.1165756832950608E-2</v>
      </c>
      <c r="K247" s="597">
        <f>K128+K148+K197+K221+K240</f>
        <v>5673151026.697073</v>
      </c>
      <c r="L247" s="100"/>
    </row>
    <row r="248" spans="1:12" x14ac:dyDescent="0.25">
      <c r="A248" s="621" t="str">
        <f>result</f>
        <v>Surplus/ (Deficit) for the year</v>
      </c>
      <c r="B248" s="622"/>
      <c r="C248" s="76">
        <f t="shared" ref="C248:H248" si="102">C125-C247</f>
        <v>223395341.15000153</v>
      </c>
      <c r="D248" s="76">
        <f t="shared" si="102"/>
        <v>927224369.32743168</v>
      </c>
      <c r="E248" s="76">
        <f t="shared" si="102"/>
        <v>914456605.17499161</v>
      </c>
      <c r="F248" s="76">
        <f t="shared" si="102"/>
        <v>35696538.069999933</v>
      </c>
      <c r="G248" s="76">
        <f t="shared" si="102"/>
        <v>758061369.1600008</v>
      </c>
      <c r="H248" s="76">
        <f t="shared" si="102"/>
        <v>838251888.077075</v>
      </c>
      <c r="I248" s="634">
        <f>G248-H248</f>
        <v>-80190518.917074203</v>
      </c>
      <c r="J248" s="634">
        <f>IF(I248=0,"",I248/H248)</f>
        <v>-9.5663988423609611E-2</v>
      </c>
      <c r="K248" s="234">
        <f>K125-K247</f>
        <v>914456605.17499161</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48" t="s">
        <v>1207</v>
      </c>
      <c r="B253" s="1048"/>
      <c r="C253" s="1048"/>
      <c r="D253" s="1048"/>
      <c r="E253" s="1048"/>
      <c r="F253" s="1048"/>
      <c r="G253" s="1048"/>
      <c r="H253" s="1048"/>
      <c r="I253" s="1048"/>
      <c r="J253" s="1048"/>
      <c r="K253" s="1048"/>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8.7799997329711914</v>
      </c>
      <c r="D256" s="628">
        <f>D125-'C4-FinPerf RE'!D53</f>
        <v>375844</v>
      </c>
      <c r="E256" s="628">
        <f>E125-'C4-FinPerf RE'!E53</f>
        <v>-1296407.999997139</v>
      </c>
      <c r="F256" s="628">
        <f>F125-'C4-FinPerf RE'!F53</f>
        <v>0</v>
      </c>
      <c r="G256" s="628">
        <f>G125-'C4-FinPerf RE'!G53</f>
        <v>0</v>
      </c>
      <c r="H256" s="628">
        <f>H125-'C4-FinPerf RE'!H53</f>
        <v>-1188373.9999961853</v>
      </c>
      <c r="I256" s="628">
        <f>I125-'C4-FinPerf RE'!I53</f>
        <v>-450280098.15605927</v>
      </c>
      <c r="J256" s="629"/>
      <c r="K256" s="628">
        <f>K125-'C4-FinPerf RE'!K53</f>
        <v>-1296407.999997139</v>
      </c>
    </row>
    <row r="257" spans="1:11" x14ac:dyDescent="0.25">
      <c r="A257" s="81" t="s">
        <v>179</v>
      </c>
      <c r="B257" s="64"/>
      <c r="C257" s="628">
        <f>C247-'C4-FinPerf RE'!C36</f>
        <v>0</v>
      </c>
      <c r="D257" s="628">
        <f>D247-'C4-FinPerf RE'!D36</f>
        <v>375844.00000190735</v>
      </c>
      <c r="E257" s="628">
        <f>E247-'C4-FinPerf RE'!E36</f>
        <v>-0.72423839569091797</v>
      </c>
      <c r="F257" s="628">
        <f>F247-'C4-FinPerf RE'!F36</f>
        <v>0</v>
      </c>
      <c r="G257" s="628">
        <f>G247-'C4-FinPerf RE'!G36</f>
        <v>0</v>
      </c>
      <c r="H257" s="628">
        <f>H247-'C4-FinPerf RE'!H36</f>
        <v>-0.66388416290283203</v>
      </c>
      <c r="I257" s="628">
        <f>I247-'C4-FinPerf RE'!I36</f>
        <v>0.66388517618179321</v>
      </c>
      <c r="J257" s="629"/>
      <c r="K257" s="628">
        <f>K247-'C4-FinPerf RE'!K36</f>
        <v>-0.72423839569091797</v>
      </c>
    </row>
    <row r="261" spans="1:11" x14ac:dyDescent="0.25">
      <c r="E261" s="630"/>
    </row>
  </sheetData>
  <mergeCells count="4">
    <mergeCell ref="A253:K253"/>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0475F389-5A4D-4FEC-9AD2-A8B50AD79758}">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Sbonelo S. Mwelase</cp:lastModifiedBy>
  <cp:lastPrinted>2016-12-13T05:59:10Z</cp:lastPrinted>
  <dcterms:created xsi:type="dcterms:W3CDTF">2004-04-07T16:19:08Z</dcterms:created>
  <dcterms:modified xsi:type="dcterms:W3CDTF">2021-06-08T09:41:29Z</dcterms:modified>
</cp:coreProperties>
</file>